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omments10.xml" ContentType="application/vnd.openxmlformats-officedocument.spreadsheetml.comments+xml"/>
  <Override PartName="/xl/drawings/drawing16.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omments14.xml" ContentType="application/vnd.openxmlformats-officedocument.spreadsheetml.comments+xml"/>
  <Override PartName="/xl/drawings/drawing2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192.168.0.6\確認評価局\★法改正作業フォルダ\20250401新様式\"/>
    </mc:Choice>
  </mc:AlternateContent>
  <xr:revisionPtr revIDLastSave="0" documentId="13_ncr:1_{F0D7440C-ECE7-407E-A554-004B0846ED6E}" xr6:coauthVersionLast="47" xr6:coauthVersionMax="47" xr10:uidLastSave="{00000000-0000-0000-0000-000000000000}"/>
  <bookViews>
    <workbookView xWindow="-120" yWindow="-120" windowWidth="29040" windowHeight="15720" tabRatio="863" firstSheet="8" activeTab="9" xr2:uid="{00000000-000D-0000-FFFF-FFFF00000000}"/>
  </bookViews>
  <sheets>
    <sheet name="dSHEET" sheetId="1" state="veryHidden" r:id="rId1"/>
    <sheet name="dSTART" sheetId="2" state="veryHidden" r:id="rId2"/>
    <sheet name="dAName" sheetId="90"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入力のルール" sheetId="96" r:id="rId9"/>
    <sheet name="検査予約票_2504" sheetId="108" r:id="rId10"/>
    <sheet name="syukujitsu2001-2050" sheetId="109" r:id="rId11"/>
    <sheet name="入力のルール_一括" sheetId="66" state="veryHidden" r:id="rId12"/>
    <sheet name="目次・入力シート" sheetId="67" state="veryHidden" r:id="rId13"/>
    <sheet name="リスト_2" sheetId="98" state="veryHidden" r:id="rId14"/>
    <sheet name="リスト_2_一括" sheetId="68" state="veryHidden" r:id="rId15"/>
    <sheet name="提出書類一覧" sheetId="69" state="veryHidden" r:id="rId16"/>
    <sheet name="郵送申請_確認申請・適合証明設計検査" sheetId="70" state="veryHidden" r:id="rId17"/>
    <sheet name="郵送申請_計画変更" sheetId="71" state="veryHidden" r:id="rId18"/>
    <sheet name="事前協議" sheetId="72" state="veryHidden" r:id="rId19"/>
    <sheet name="現地調査票" sheetId="101" state="veryHidden" r:id="rId20"/>
    <sheet name="現地調査票_一括" sheetId="102" state="veryHidden" r:id="rId21"/>
    <sheet name="委任状" sheetId="74" state="veryHidden" r:id="rId22"/>
    <sheet name="工事届" sheetId="91" state="veryHidden" r:id="rId23"/>
    <sheet name="工事届_一括" sheetId="97" state="veryHidden" r:id="rId24"/>
    <sheet name="免除申請_確認・計変" sheetId="76" state="veryHidden" r:id="rId25"/>
    <sheet name="既存不適格調書" sheetId="77" state="veryHidden" r:id="rId26"/>
    <sheet name="現況の調査書" sheetId="78" state="veryHidden" r:id="rId27"/>
    <sheet name="既存不適格法チェックリスト" sheetId="79" state="veryHidden" r:id="rId28"/>
    <sheet name="郵送申請_完了" sheetId="80" state="veryHidden" r:id="rId29"/>
    <sheet name="検査予約票_一括" sheetId="81" state="veryHidden" r:id="rId30"/>
    <sheet name="完了検査申請書" sheetId="82" state="veryHidden" r:id="rId31"/>
    <sheet name="免除申請_完了" sheetId="83" state="veryHidden" r:id="rId32"/>
    <sheet name="確認申請取下届" sheetId="84" state="veryHidden" r:id="rId33"/>
    <sheet name="確認申請取下届_一括" sheetId="99" state="veryHidden" r:id="rId34"/>
    <sheet name="記載事項変更等届" sheetId="85" state="veryHidden" r:id="rId35"/>
    <sheet name="記載事項変更等届_一括" sheetId="92" state="veryHidden" r:id="rId36"/>
    <sheet name="工事取りやめ届" sheetId="93" state="veryHidden" r:id="rId37"/>
    <sheet name="工事取りやめ届_一括" sheetId="86" state="veryHidden" r:id="rId38"/>
    <sheet name="完了検査申請取下届" sheetId="87" state="veryHidden" r:id="rId39"/>
    <sheet name="完了検査申請取下届_一括" sheetId="94" state="veryHidden" r:id="rId40"/>
    <sheet name="証明願" sheetId="88" state="veryHidden" r:id="rId41"/>
    <sheet name="再交付申請書" sheetId="89" state="veryHidden" r:id="rId42"/>
  </sheets>
  <definedNames>
    <definedName name="__IntlFixup" hidden="1">TRUE</definedName>
    <definedName name="__IntlFixupTable" localSheetId="19" hidden="1">#REF!</definedName>
    <definedName name="__IntlFixupTable" localSheetId="20" hidden="1">#REF!</definedName>
    <definedName name="__IntlFixupTable" hidden="1">#REF!</definedName>
    <definedName name="_output_sheetname">DATA!$D$9</definedName>
    <definedName name="_output_title">DATA!$D$7</definedName>
    <definedName name="_入力の順番">#REF!,#REF!,#REF!,#REF!,#REF!,#REF!,#REF!,#REF!,#REF!,#REF!,#REF!,#REF!,#REF!,#REF!,#REF!,#REF!,#REF!,#REF!,#REF!,#REF!,#REF!</definedName>
    <definedName name="AAA_01" localSheetId="19" hidden="1">#REF!</definedName>
    <definedName name="AAA_01" localSheetId="20" hidden="1">#REF!</definedName>
    <definedName name="AAA_01" hidden="1">#REF!</definedName>
    <definedName name="chk_INTER_state_in_final">DATA!$F$28</definedName>
    <definedName name="chk_INTER1_state_in_conf">DATA!$F$25</definedName>
    <definedName name="chk_INTER2_state_in_conf">DATA!$F$26</definedName>
    <definedName name="chk_INTER3_state_in_conf">DATA!$F$27</definedName>
    <definedName name="chk_JOB_KIND_kakunin">DATA!$F$24</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DATA!$F$30</definedName>
    <definedName name="cst_ISSUE_KOUFU_NAME_select">DATA!$F$62</definedName>
    <definedName name="cst_ISSUE_NO_select">DATA!$F$29</definedName>
    <definedName name="cst_koujikikan_month">DATA!$F$1144</definedName>
    <definedName name="cst_koujikikan_year">DATA!$F$1143</definedName>
    <definedName name="cst_Pre_Corp__SHINSEI">dAName!$F$18</definedName>
    <definedName name="cst_Pre_Daihyou__SHINSEI">dAName!$G$18</definedName>
    <definedName name="cst_shinsei_build_p6_01_PAGE6_KOUZOU_KEISAN_KIND__002">DATA!$F$50</definedName>
    <definedName name="cst_shinsei_build_p6_01_PAGE6_KOUZOU_KEISAN_KIND__004">DATA!$F$49</definedName>
    <definedName name="cst_shinsei_build_p6_01_PAGE6_KOUZOU_KEISAN_KIND__005">DATA!$F$48</definedName>
    <definedName name="cst_shinsei_build_YOUTO">DATA!$F$1326</definedName>
    <definedName name="cst_shinsei_HIKIUKE_DATE">DATA!$F$38</definedName>
    <definedName name="cst_shinsei_ISSUE_DATE">DATA!$F$43</definedName>
    <definedName name="cst_shinsei_ISSUE_KOUFU_NAME">DATA!$F$45</definedName>
    <definedName name="cst_shinsei_ISSUE_NO">DATA!$F$40</definedName>
    <definedName name="cst_shinsei_KAKU_SUMI_NO">DATA!$F$41</definedName>
    <definedName name="cst_shinsei_KAKUNIN_ISSUE_NO">DATA!$F$60</definedName>
    <definedName name="cst_shinsei_KAKUNIN_KOUFU_DATE">DATA!$F$63</definedName>
    <definedName name="cst_shinsei_PROVO_DATE">DATA!$F$32</definedName>
    <definedName name="cst_shinsei_PROVO_NO">DATA!$F$33</definedName>
    <definedName name="cst_shinsei_UKETUKE_NO">DATA!$F$36</definedName>
    <definedName name="cst_shinsei_UNIT_COUNT">DATA!$F$965</definedName>
    <definedName name="cst_wsjob_JOB_INPUT_VERSION">DATA!$F$21</definedName>
    <definedName name="cst_wsjob_JOB_KIND">DATA!$F$17</definedName>
    <definedName name="cst_wsjob_JOB_KIND_final_box">DATA!$F$20</definedName>
    <definedName name="cst_wsjob_JOB_KIND_inter_box">DATA!$F$19</definedName>
    <definedName name="cst_wsjob_JOB_KIND_kakunin_box">DATA!$F$18</definedName>
    <definedName name="cst_wsjob_JOB_SET_KIND">DATA!$F$12</definedName>
    <definedName name="cst_wsjob_KENTIKUBUTU_box">DATA!$F$14</definedName>
    <definedName name="cst_wsjob_KOUSAKUBUTU_box">DATA!$F$16</definedName>
    <definedName name="cst_wsjob_SYOUKOUKI_box">DATA!$F$15</definedName>
    <definedName name="cst_wsjob_TARGET_KIND">DATA!$F$13</definedName>
    <definedName name="cst_wsjob_TARGET_KIND__label">DATA!$F$11</definedName>
    <definedName name="cst_wskakunin__bouka">DATA!$F$919</definedName>
    <definedName name="cst_wskakunin__kouji">DATA!$F$967</definedName>
    <definedName name="cst_wskakunin__kuiki">DATA!$F$910</definedName>
    <definedName name="cst_wskakunin__kuiki_box">DATA!$F$911</definedName>
    <definedName name="cst_wskakunin__tosi_kuiki">DATA!$F$913</definedName>
    <definedName name="cst_wskakunin_20kouzou101_KOUZOUSEKKEI_KOUFU_NO">DATA!$F$482</definedName>
    <definedName name="cst_wskakunin_20kouzou101_NAME">DATA!$F$481</definedName>
    <definedName name="cst_wskakunin_20kouzou102_KOUZOUSEKKEI_KOUFU_NO">DATA!$F$484</definedName>
    <definedName name="cst_wskakunin_20kouzou102_NAME">DATA!$F$483</definedName>
    <definedName name="cst_wskakunin_20kouzou103_KOUZOUSEKKEI_KOUFU_NO">DATA!$F$486</definedName>
    <definedName name="cst_wskakunin_20kouzou103_NAME">DATA!$F$485</definedName>
    <definedName name="cst_wskakunin_20kouzou104_KOUZOUSEKKEI_KOUFU_NO">DATA!$F$488</definedName>
    <definedName name="cst_wskakunin_20kouzou104_NAME">DATA!$F$487</definedName>
    <definedName name="cst_wskakunin_20kouzou105_KOUZOUSEKKEI_KOUFU_NO">DATA!$F$490</definedName>
    <definedName name="cst_wskakunin_20kouzou105_NAME">DATA!$F$489</definedName>
    <definedName name="cst_wskakunin_20kouzou301_KOUZOUSEKKEI_KOUFU_NO">DATA!$F$494</definedName>
    <definedName name="cst_wskakunin_20kouzou301_NAME">DATA!$F$493</definedName>
    <definedName name="cst_wskakunin_20kouzou302_KOUZOUSEKKEI_KOUFU_NO">DATA!$F$496</definedName>
    <definedName name="cst_wskakunin_20kouzou302_NAME">DATA!$F$495</definedName>
    <definedName name="cst_wskakunin_20kouzou303_KOUZOUSEKKEI_KOUFU_NO">DATA!$F$498</definedName>
    <definedName name="cst_wskakunin_20kouzou303_NAME">DATA!$F$497</definedName>
    <definedName name="cst_wskakunin_20kouzou304_KOUZOUSEKKEI_KOUFU_NO">DATA!$F$500</definedName>
    <definedName name="cst_wskakunin_20kouzou304_NAME">DATA!$F$499</definedName>
    <definedName name="cst_wskakunin_20kouzou305_KOUZOUSEKKEI_KOUFU_NO">DATA!$F$502</definedName>
    <definedName name="cst_wskakunin_20kouzou305_NAME">DATA!$F$501</definedName>
    <definedName name="cst_wskakunin_20setubi101_NAME">DATA!$F$505</definedName>
    <definedName name="cst_wskakunin_20setubi101_SETUBISEKKEI_KOUFU_NO">DATA!$F$506</definedName>
    <definedName name="cst_wskakunin_20setubi102_NAME">DATA!$F$507</definedName>
    <definedName name="cst_wskakunin_20setubi102_SETUBISEKKEI_KOUFU_NO">DATA!$F$508</definedName>
    <definedName name="cst_wskakunin_20setubi103_NAME">DATA!$F$509</definedName>
    <definedName name="cst_wskakunin_20setubi103_SETUBISEKKEI_KOUFU_NO">DATA!$F$510</definedName>
    <definedName name="cst_wskakunin_20setubi104_NAME">DATA!$F$511</definedName>
    <definedName name="cst_wskakunin_20setubi104_SETUBISEKKEI_KOUFU_NO">DATA!$F$512</definedName>
    <definedName name="cst_wskakunin_20setubi105_NAME">DATA!$F$513</definedName>
    <definedName name="cst_wskakunin_20setubi105_SETUBISEKKEI_KOUFU_NO">DATA!$F$514</definedName>
    <definedName name="cst_wskakunin_20setubi301_NAME">DATA!$F$517</definedName>
    <definedName name="cst_wskakunin_20setubi301_SETUBISEKKEI_KOUFU_NO">DATA!$F$518</definedName>
    <definedName name="cst_wskakunin_20setubi302_NAME">DATA!$F$519</definedName>
    <definedName name="cst_wskakunin_20setubi302_SETUBISEKKEI_KOUFU_NO">DATA!$F$520</definedName>
    <definedName name="cst_wskakunin_20setubi303_NAME">DATA!$F$521</definedName>
    <definedName name="cst_wskakunin_20setubi303_SETUBISEKKEI_KOUFU_NO">DATA!$F$522</definedName>
    <definedName name="cst_wskakunin_20setubi304_NAME">DATA!$F$523</definedName>
    <definedName name="cst_wskakunin_20setubi304_SETUBISEKKEI_KOUFU_NO">DATA!$F$524</definedName>
    <definedName name="cst_wskakunin_20setubi305_NAME">DATA!$F$525</definedName>
    <definedName name="cst_wskakunin_20setubi305_SETUBISEKKEI_KOUFU_NO">DATA!$F$526</definedName>
    <definedName name="cst_wskakunin_APPLICANT_NAME">DATA!$F$68</definedName>
    <definedName name="cst_wskakunin_BOUKA_22JYO">DATA!$F$923</definedName>
    <definedName name="cst_wskakunin_BOUKA_BOUKA">DATA!$F$920</definedName>
    <definedName name="cst_wskakunin_BOUKA_JYUN_BOUKA">DATA!$F$921</definedName>
    <definedName name="cst_wskakunin_BOUKA_NASI">DATA!$F$922</definedName>
    <definedName name="cst_wskakunin_BOUKA_SETUBI_FLAG">DATA!$F$1168</definedName>
    <definedName name="cst_wskakunin_BOUKA_SETUBI_FLAG_box_off">DATA!$F$1170</definedName>
    <definedName name="cst_wskakunin_BOUKA_SETUBI_FLAG_box_on">DATA!$F$1169</definedName>
    <definedName name="cst_wskakunin_BUILD__address">DATA!$F$899</definedName>
    <definedName name="cst_wskakunin_BUILD_ADDRESS">DATA!$F$901</definedName>
    <definedName name="cst_wskakunin_BUILD_JYUKYO__address">DATA!$F$904</definedName>
    <definedName name="cst_wskakunin_BUILD_JYUKYO_ADDRESS">DATA!$F$906</definedName>
    <definedName name="cst_wskakunin_BUILD_JYUKYO_KEN__ken">DATA!$F$905</definedName>
    <definedName name="cst_wskakunin_BUILD_KEN__ken">DATA!$F$900</definedName>
    <definedName name="cst_wskakunin_BUILD_NAME">DATA!$F$830</definedName>
    <definedName name="cst_wskakunin_BUILD_NAME_KANA">DATA!$F$831</definedName>
    <definedName name="cst_wskakunin_BUILD_SHINSEI_COUNT">DATA!$F$1083</definedName>
    <definedName name="cst_wskakunin_BUILD_SONOTA_COUNT">DATA!$F$1084</definedName>
    <definedName name="cst_wskakunin_dairi1__address">DATA!$F$198</definedName>
    <definedName name="cst_wskakunin_dairi1__sikaku">DATA!$F$186</definedName>
    <definedName name="cst_wskakunin_dairi1__space">DATA!$F$201</definedName>
    <definedName name="cst_wskakunin_dairi1_FAX">DATA!$F$200</definedName>
    <definedName name="cst_wskakunin_dairi1_JIMU__sikaku">DATA!$F$192</definedName>
    <definedName name="cst_wskakunin_dairi1_JIMU_NAME">DATA!$F$196</definedName>
    <definedName name="cst_wskakunin_dairi1_JIMU_NO">DATA!$F$195</definedName>
    <definedName name="cst_wskakunin_dairi1_JIMU_SIKAKU">DATA!$F$193</definedName>
    <definedName name="cst_wskakunin_dairi1_JIMU_TOUROKU_KIKAN">DATA!$F$194</definedName>
    <definedName name="cst_wskakunin_dairi1_KENTIKUSI_NO">DATA!$F$189</definedName>
    <definedName name="cst_wskakunin_dairi1_NAME">DATA!$F$190</definedName>
    <definedName name="cst_wskakunin_dairi1_NAME_KANA">DATA!$F$191</definedName>
    <definedName name="cst_wskakunin_dairi1_SIKAKU">DATA!$F$187</definedName>
    <definedName name="cst_wskakunin_dairi1_TEL">DATA!$F$199</definedName>
    <definedName name="cst_wskakunin_dairi1_TOUROKU_KIKAN">DATA!$F$188</definedName>
    <definedName name="cst_wskakunin_dairi1_ZIP">DATA!$F$197</definedName>
    <definedName name="cst_wskakunin_dairi2__address">DATA!$F$216</definedName>
    <definedName name="cst_wskakunin_dairi2__sikaku">DATA!$F$204</definedName>
    <definedName name="cst_wskakunin_dairi2__space">DATA!$F$219</definedName>
    <definedName name="cst_wskakunin_dairi2_FAX">DATA!$F$218</definedName>
    <definedName name="cst_wskakunin_dairi2_JIMU__sikaku">DATA!$F$210</definedName>
    <definedName name="cst_wskakunin_dairi2_JIMU_NAME">DATA!$F$214</definedName>
    <definedName name="cst_wskakunin_dairi2_JIMU_NO">DATA!$F$213</definedName>
    <definedName name="cst_wskakunin_dairi2_JIMU_SIKAKU">DATA!$F$211</definedName>
    <definedName name="cst_wskakunin_dairi2_JIMU_TOUROKU_KIKAN">DATA!$F$212</definedName>
    <definedName name="cst_wskakunin_dairi2_KENTIKUSI_NO">DATA!$F$207</definedName>
    <definedName name="cst_wskakunin_dairi2_NAME">DATA!$F$208</definedName>
    <definedName name="cst_wskakunin_dairi2_NAME_KANA">DATA!$F$209</definedName>
    <definedName name="cst_wskakunin_dairi2_SIKAKU">DATA!$F$205</definedName>
    <definedName name="cst_wskakunin_dairi2_TEL">DATA!$F$217</definedName>
    <definedName name="cst_wskakunin_dairi2_TOUROKU_KIKAN">DATA!$F$206</definedName>
    <definedName name="cst_wskakunin_dairi2_ZIP">DATA!$F$215</definedName>
    <definedName name="cst_wskakunin_dairi3__address">DATA!$F$234</definedName>
    <definedName name="cst_wskakunin_dairi3__sikaku">DATA!$F$222</definedName>
    <definedName name="cst_wskakunin_dairi3__space">DATA!$F$237</definedName>
    <definedName name="cst_wskakunin_dairi3_FAX">DATA!$F$236</definedName>
    <definedName name="cst_wskakunin_dairi3_JIMU__sikaku">DATA!$F$228</definedName>
    <definedName name="cst_wskakunin_dairi3_JIMU_NAME">DATA!$F$232</definedName>
    <definedName name="cst_wskakunin_dairi3_JIMU_NO">DATA!$F$231</definedName>
    <definedName name="cst_wskakunin_dairi3_JIMU_SIKAKU">DATA!$F$229</definedName>
    <definedName name="cst_wskakunin_dairi3_JIMU_TOUROKU_KIKAN">DATA!$F$230</definedName>
    <definedName name="cst_wskakunin_dairi3_KENTIKUSI_NO">DATA!$F$225</definedName>
    <definedName name="cst_wskakunin_dairi3_NAME">DATA!$F$226</definedName>
    <definedName name="cst_wskakunin_dairi3_NAME_KANA">DATA!$F$227</definedName>
    <definedName name="cst_wskakunin_dairi3_SIKAKU">DATA!$F$223</definedName>
    <definedName name="cst_wskakunin_dairi3_TEL">DATA!$F$235</definedName>
    <definedName name="cst_wskakunin_dairi3_TOUROKU_KIKAN">DATA!$F$224</definedName>
    <definedName name="cst_wskakunin_dairi3_ZIP">DATA!$F$233</definedName>
    <definedName name="cst_wskakunin_dairi4__address">DATA!$F$252</definedName>
    <definedName name="cst_wskakunin_dairi4__sikaku">DATA!$F$240</definedName>
    <definedName name="cst_wskakunin_dairi4__space">DATA!$F$255</definedName>
    <definedName name="cst_wskakunin_dairi4_FAX">DATA!$F$254</definedName>
    <definedName name="cst_wskakunin_dairi4_JIMU__sikaku">DATA!$F$246</definedName>
    <definedName name="cst_wskakunin_dairi4_JIMU_NAME">DATA!$F$250</definedName>
    <definedName name="cst_wskakunin_dairi4_JIMU_NO">DATA!$F$249</definedName>
    <definedName name="cst_wskakunin_dairi4_JIMU_SIKAKU">DATA!$F$247</definedName>
    <definedName name="cst_wskakunin_dairi4_JIMU_TOUROKU_KIKAN">DATA!$F$248</definedName>
    <definedName name="cst_wskakunin_dairi4_KENTIKUSI_NO">DATA!$F$243</definedName>
    <definedName name="cst_wskakunin_dairi4_NAME">DATA!$F$244</definedName>
    <definedName name="cst_wskakunin_dairi4_NAME_KANA">DATA!$F$245</definedName>
    <definedName name="cst_wskakunin_dairi4_SIKAKU">DATA!$F$241</definedName>
    <definedName name="cst_wskakunin_dairi4_TEL">DATA!$F$253</definedName>
    <definedName name="cst_wskakunin_dairi4_TOUROKU_KIKAN">DATA!$F$242</definedName>
    <definedName name="cst_wskakunin_dairi4_ZIP">DATA!$F$251</definedName>
    <definedName name="cst_wskakunin_dairi5__address">DATA!$F$270</definedName>
    <definedName name="cst_wskakunin_dairi5__sikaku">DATA!$F$258</definedName>
    <definedName name="cst_wskakunin_dairi5__space">DATA!$F$273</definedName>
    <definedName name="cst_wskakunin_dairi5_FAX">DATA!$F$272</definedName>
    <definedName name="cst_wskakunin_dairi5_JIMU__sikaku">DATA!$F$264</definedName>
    <definedName name="cst_wskakunin_dairi5_JIMU_NAME">DATA!$F$268</definedName>
    <definedName name="cst_wskakunin_dairi5_JIMU_NO">DATA!$F$267</definedName>
    <definedName name="cst_wskakunin_dairi5_JIMU_SIKAKU">DATA!$F$265</definedName>
    <definedName name="cst_wskakunin_dairi5_JIMU_TOUROKU_KIKAN">DATA!$F$266</definedName>
    <definedName name="cst_wskakunin_dairi5_KENTIKUSI_NO">DATA!$F$261</definedName>
    <definedName name="cst_wskakunin_dairi5_NAME">DATA!$F$262</definedName>
    <definedName name="cst_wskakunin_dairi5_NAME_KANA">DATA!$F$263</definedName>
    <definedName name="cst_wskakunin_dairi5_SIKAKU">DATA!$F$259</definedName>
    <definedName name="cst_wskakunin_dairi5_TEL">DATA!$F$271</definedName>
    <definedName name="cst_wskakunin_dairi5_TOUROKU_KIKAN">DATA!$F$260</definedName>
    <definedName name="cst_wskakunin_dairi5_ZIP">DATA!$F$269</definedName>
    <definedName name="cst_wskakunin_DOURO_FUKUIN">DATA!$F$928</definedName>
    <definedName name="cst_wskakunin_DOURO_NAGASA">DATA!$F$929</definedName>
    <definedName name="cst_wskakunin_ecotekihan01_FUYOU_CAUSE">DATA!$F$860</definedName>
    <definedName name="cst_wskakunin_ecotekihan01_miteisyutu_kikan_info">DATA!$F$859</definedName>
    <definedName name="cst_wskakunin_ecotekihan01_teisyutu_kikan_info">DATA!$F$858</definedName>
    <definedName name="cst_wskakunin_ecotekihan01_TEKIHAN_KIKAN_ADDRESS">DATA!$F$856</definedName>
    <definedName name="cst_wskakunin_ecotekihan01_TEKIHAN_KIKAN_KEN__ken">DATA!$F$855</definedName>
    <definedName name="cst_wskakunin_ecotekihan01_TEKIHAN_KIKAN_NAME">DATA!$F$854</definedName>
    <definedName name="cst_wskakunin_ecotekihan01_TEKIHAN_STATE_miteisyutu">DATA!$F$852</definedName>
    <definedName name="cst_wskakunin_ecotekihan01_TEKIHAN_STATE_teisyutu">DATA!$F$851</definedName>
    <definedName name="cst_wskakunin_ecotekihan01_TEKIHAN_STATE_teisyutufuyou">DATA!$F$853</definedName>
    <definedName name="cst_wskakunin_gaiyou1_EV_KIND">DATA!$F$997</definedName>
    <definedName name="cst_wskakunin_gaiyou1_KOUJI_KAITIKU">DATA!$F$984</definedName>
    <definedName name="cst_wskakunin_gaiyou1_KOUJI_SINTIKU">DATA!$F$982</definedName>
    <definedName name="cst_wskakunin_gaiyou1_KOUJI_SONOTA">DATA!$F$985</definedName>
    <definedName name="cst_wskakunin_gaiyou1_KOUJI_SONOTA_TEXT">DATA!$F$986</definedName>
    <definedName name="cst_wskakunin_gaiyou1_KOUJI_ZOUTIKU">DATA!$F$983</definedName>
    <definedName name="cst_wskakunin_gaiyou1_KOUZOU">DATA!$F$981</definedName>
    <definedName name="cst_wskakunin_gaiyou1_NINSYOU_NO">DATA!$F$1003</definedName>
    <definedName name="cst_wskakunin_gaiyou1_NO">DATA!$F$996</definedName>
    <definedName name="cst_wskakunin_gaiyou1_SEKISAI">DATA!$F$999</definedName>
    <definedName name="cst_wskakunin_gaiyou1_SONOTA">DATA!$F$1002</definedName>
    <definedName name="cst_wskakunin_gaiyou1_SONOTA_and_NINSYOU_NO">DATA!$F$1004</definedName>
    <definedName name="cst_wskakunin_gaiyou1_SPEED">DATA!$F$1001</definedName>
    <definedName name="cst_wskakunin_gaiyou1_TAKASA">DATA!$F$980</definedName>
    <definedName name="cst_wskakunin_gaiyou1_TEIIN">DATA!$F$1000</definedName>
    <definedName name="cst_wskakunin_gaiyou1_TIKUZOU_MENSEKI_IGAI">DATA!$F$989</definedName>
    <definedName name="cst_wskakunin_gaiyou1_TIKUZOU_MENSEKI_SHINSEI">DATA!$F$988</definedName>
    <definedName name="cst_wskakunin_gaiyou1_TIKUZOU_MENSEKI_TOTAL">DATA!$F$990</definedName>
    <definedName name="cst_wskakunin_gaiyou1_WORK_COUNT_IGAI">DATA!$F$992</definedName>
    <definedName name="cst_wskakunin_gaiyou1_WORK_COUNT_SHINSEI">DATA!$F$991</definedName>
    <definedName name="cst_wskakunin_gaiyou1_WORK_COUNT_TOTAL">DATA!$F$993</definedName>
    <definedName name="cst_wskakunin_gaiyou1_WORK_SYURUI">DATA!$F$979</definedName>
    <definedName name="cst_wskakunin_gaiyou1_WORK_SYURUI_CODE">DATA!$F$978</definedName>
    <definedName name="cst_wskakunin_gaiyou1_YOUTO">DATA!$F$998</definedName>
    <definedName name="cst_wskakunin_iken1__address">DATA!$F$533</definedName>
    <definedName name="cst_wskakunin_iken1_DOC">DATA!$F$536</definedName>
    <definedName name="cst_wskakunin_iken1_IKEN_NO">DATA!$F$535</definedName>
    <definedName name="cst_wskakunin_iken1_JIMU_NAME">DATA!$F$531</definedName>
    <definedName name="cst_wskakunin_iken1_NAME">DATA!$F$530</definedName>
    <definedName name="cst_wskakunin_iken1_TEL">DATA!$F$534</definedName>
    <definedName name="cst_wskakunin_iken1_ZIP">DATA!$F$532</definedName>
    <definedName name="cst_wskakunin_iken2__address">DATA!$F$542</definedName>
    <definedName name="cst_wskakunin_iken2_DOC">DATA!$F$545</definedName>
    <definedName name="cst_wskakunin_iken2_IKEN_NO">DATA!$F$544</definedName>
    <definedName name="cst_wskakunin_iken2_JIMU_NAME">DATA!$F$540</definedName>
    <definedName name="cst_wskakunin_iken2_NAME">DATA!$F$539</definedName>
    <definedName name="cst_wskakunin_iken2_TEL">DATA!$F$543</definedName>
    <definedName name="cst_wskakunin_iken2_ZIP">DATA!$F$541</definedName>
    <definedName name="cst_wskakunin_iken3__address">DATA!$F$551</definedName>
    <definedName name="cst_wskakunin_iken3_DOC">DATA!$F$554</definedName>
    <definedName name="cst_wskakunin_iken3_IKEN_NO">DATA!$F$553</definedName>
    <definedName name="cst_wskakunin_iken3_JIMU_NAME">DATA!$F$549</definedName>
    <definedName name="cst_wskakunin_iken3_NAME">DATA!$F$548</definedName>
    <definedName name="cst_wskakunin_iken3_TEL">DATA!$F$552</definedName>
    <definedName name="cst_wskakunin_iken3_ZIP">DATA!$F$550</definedName>
    <definedName name="cst_wskakunin_iken4__address">DATA!$F$560</definedName>
    <definedName name="cst_wskakunin_iken4_DOC">DATA!$F$563</definedName>
    <definedName name="cst_wskakunin_iken4_IKEN_NO">DATA!$F$562</definedName>
    <definedName name="cst_wskakunin_iken4_JIMU_NAME">DATA!$F$558</definedName>
    <definedName name="cst_wskakunin_iken4_NAME">DATA!$F$557</definedName>
    <definedName name="cst_wskakunin_iken4_TEL">DATA!$F$561</definedName>
    <definedName name="cst_wskakunin_iken4_ZIP">DATA!$F$559</definedName>
    <definedName name="cst_wskakunin_iken5__address">DATA!$F$568</definedName>
    <definedName name="cst_wskakunin_iken5_DOC">DATA!$F$571</definedName>
    <definedName name="cst_wskakunin_iken5_IKEN_NO">DATA!$F$570</definedName>
    <definedName name="cst_wskakunin_iken5_JIMU_NAME">DATA!$F$566</definedName>
    <definedName name="cst_wskakunin_iken5_NAME">DATA!$F$565</definedName>
    <definedName name="cst_wskakunin_iken5_TEL">DATA!$F$569</definedName>
    <definedName name="cst_wskakunin_iken5_ZIP">DATA!$F$567</definedName>
    <definedName name="cst_wskakunin_KAISU_TIJYOU_SHINSEI">DATA!$F$1091</definedName>
    <definedName name="cst_wskakunin_KAISU_TIJYOU_SONOTA">DATA!$F$1092</definedName>
    <definedName name="cst_wskakunin_KAISU_TIKA_SHINSEI__zero">DATA!$F$1094</definedName>
    <definedName name="cst_wskakunin_KAISU_TIKA_SONOTA">DATA!$F$1095</definedName>
    <definedName name="cst_wskakunin_kanri1__address">DATA!$F$586</definedName>
    <definedName name="cst_wskakunin_kanri1__sikaku">DATA!$F$574</definedName>
    <definedName name="cst_wskakunin_kanri1_DOC">DATA!$F$588</definedName>
    <definedName name="cst_wskakunin_kanri1_JIMU">DATA!$F$579</definedName>
    <definedName name="cst_wskakunin_kanri1_JIMU_NAME">DATA!$F$583</definedName>
    <definedName name="cst_wskakunin_kanri1_JIMU_NO">DATA!$F$582</definedName>
    <definedName name="cst_wskakunin_kanri1_JIMU_SIKAKU">DATA!$F$580</definedName>
    <definedName name="cst_wskakunin_kanri1_JIMU_TOUROKU_KIKAN">DATA!$F$581</definedName>
    <definedName name="cst_wskakunin_kanri1_KENTIKUSI_NO">DATA!$F$577</definedName>
    <definedName name="cst_wskakunin_kanri1_NAME">DATA!$F$578</definedName>
    <definedName name="cst_wskakunin_kanri1_SIKAKU">DATA!$F$575</definedName>
    <definedName name="cst_wskakunin_kanri1_TEL">DATA!$F$587</definedName>
    <definedName name="cst_wskakunin_kanri1_TOUROKU_KIKAN">DATA!$F$576</definedName>
    <definedName name="cst_wskakunin_kanri1_ZIP">DATA!$F$584</definedName>
    <definedName name="cst_wskakunin_kanri1_ZIP2">DATA!$F$585</definedName>
    <definedName name="cst_wskakunin_kanri10__address">DATA!$F$730</definedName>
    <definedName name="cst_wskakunin_kanri10__sikaku">DATA!$F$719</definedName>
    <definedName name="cst_wskakunin_kanri10_DOC">DATA!$F$732</definedName>
    <definedName name="cst_wskakunin_kanri10_JIMU__sikaku">DATA!$F$724</definedName>
    <definedName name="cst_wskakunin_kanri10_JIMU_NAME">DATA!$F$728</definedName>
    <definedName name="cst_wskakunin_kanri10_JIMU_NO">DATA!$F$727</definedName>
    <definedName name="cst_wskakunin_kanri10_JIMU_SIKAKU">DATA!$F$725</definedName>
    <definedName name="cst_wskakunin_kanri10_JIMU_TOUROKU_KIKAN">DATA!$F$726</definedName>
    <definedName name="cst_wskakunin_kanri10_KENTIKUSI_NO">DATA!$F$722</definedName>
    <definedName name="cst_wskakunin_kanri10_NAME">DATA!$F$723</definedName>
    <definedName name="cst_wskakunin_kanri10_SIKAKU">DATA!$F$720</definedName>
    <definedName name="cst_wskakunin_kanri10_TEL">DATA!$F$731</definedName>
    <definedName name="cst_wskakunin_kanri10_TOUROKU_KIKAN">DATA!$F$721</definedName>
    <definedName name="cst_wskakunin_kanri10_ZIP">DATA!$F$729</definedName>
    <definedName name="cst_wskakunin_kanri11__address">DATA!$F$746</definedName>
    <definedName name="cst_wskakunin_kanri11__sikaku">DATA!$F$735</definedName>
    <definedName name="cst_wskakunin_kanri11_DOC">DATA!$F$748</definedName>
    <definedName name="cst_wskakunin_kanri11_JIMU__sikaku">DATA!$F$740</definedName>
    <definedName name="cst_wskakunin_kanri11_JIMU_NAME">DATA!$F$744</definedName>
    <definedName name="cst_wskakunin_kanri11_JIMU_NO">DATA!$F$743</definedName>
    <definedName name="cst_wskakunin_kanri11_JIMU_SIKAKU">DATA!$F$741</definedName>
    <definedName name="cst_wskakunin_kanri11_JIMU_TOUROKU_KIKAN">DATA!$F$742</definedName>
    <definedName name="cst_wskakunin_kanri11_KENTIKUSI_NO">DATA!$F$738</definedName>
    <definedName name="cst_wskakunin_kanri11_NAME">DATA!$F$739</definedName>
    <definedName name="cst_wskakunin_kanri11_SIKAKU">DATA!$F$736</definedName>
    <definedName name="cst_wskakunin_kanri11_TEL">DATA!$F$747</definedName>
    <definedName name="cst_wskakunin_kanri11_TOUROKU_KIKAN">DATA!$F$737</definedName>
    <definedName name="cst_wskakunin_kanri11_ZIP">DATA!$F$745</definedName>
    <definedName name="cst_wskakunin_kanri12__address">DATA!$F$762</definedName>
    <definedName name="cst_wskakunin_kanri12__sikaku">DATA!$F$751</definedName>
    <definedName name="cst_wskakunin_kanri12_DOC">DATA!$F$764</definedName>
    <definedName name="cst_wskakunin_kanri12_JIMU__sikaku">DATA!$F$756</definedName>
    <definedName name="cst_wskakunin_kanri12_JIMU_NAME">DATA!$F$760</definedName>
    <definedName name="cst_wskakunin_kanri12_JIMU_NO">DATA!$F$759</definedName>
    <definedName name="cst_wskakunin_kanri12_JIMU_SIKAKU">DATA!$F$757</definedName>
    <definedName name="cst_wskakunin_kanri12_JIMU_TOUROKU_KIKAN">DATA!$F$758</definedName>
    <definedName name="cst_wskakunin_kanri12_KENTIKUSI_NO">DATA!$F$754</definedName>
    <definedName name="cst_wskakunin_kanri12_NAME">DATA!$F$755</definedName>
    <definedName name="cst_wskakunin_kanri12_SIKAKU">DATA!$F$752</definedName>
    <definedName name="cst_wskakunin_kanri12_TEL">DATA!$F$763</definedName>
    <definedName name="cst_wskakunin_kanri12_TOUROKU_KIKAN">DATA!$F$753</definedName>
    <definedName name="cst_wskakunin_kanri12_ZIP">DATA!$F$761</definedName>
    <definedName name="cst_wskakunin_kanri2__address">DATA!$F$602</definedName>
    <definedName name="cst_wskakunin_kanri2__sikaku">DATA!$F$591</definedName>
    <definedName name="cst_wskakunin_kanri2_DOC">DATA!$F$604</definedName>
    <definedName name="cst_wskakunin_kanri2_JIMU">DATA!$F$596</definedName>
    <definedName name="cst_wskakunin_kanri2_JIMU_NAME">DATA!$F$600</definedName>
    <definedName name="cst_wskakunin_kanri2_JIMU_NO">DATA!$F$599</definedName>
    <definedName name="cst_wskakunin_kanri2_JIMU_SIKAKU">DATA!$F$597</definedName>
    <definedName name="cst_wskakunin_kanri2_JIMU_TOUROKU_KIKAN">DATA!$F$598</definedName>
    <definedName name="cst_wskakunin_kanri2_KENTIKUSI_NO">DATA!$F$594</definedName>
    <definedName name="cst_wskakunin_kanri2_NAME">DATA!$F$595</definedName>
    <definedName name="cst_wskakunin_kanri2_SIKAKU">DATA!$F$592</definedName>
    <definedName name="cst_wskakunin_kanri2_TEL">DATA!$F$603</definedName>
    <definedName name="cst_wskakunin_kanri2_TOUROKU_KIKAN">DATA!$F$593</definedName>
    <definedName name="cst_wskakunin_kanri2_ZIP">DATA!$F$601</definedName>
    <definedName name="cst_wskakunin_kanri3__address">DATA!$F$618</definedName>
    <definedName name="cst_wskakunin_kanri3__sikaku">DATA!$F$607</definedName>
    <definedName name="cst_wskakunin_kanri3_DOC">DATA!$F$620</definedName>
    <definedName name="cst_wskakunin_kanri3_JIMU__sikaku">DATA!$F$612</definedName>
    <definedName name="cst_wskakunin_kanri3_JIMU_NAME">DATA!$F$616</definedName>
    <definedName name="cst_wskakunin_kanri3_JIMU_NO">DATA!$F$615</definedName>
    <definedName name="cst_wskakunin_kanri3_JIMU_SIKAKU">DATA!$F$613</definedName>
    <definedName name="cst_wskakunin_kanri3_JIMU_TOUROKU_KIKAN">DATA!$F$614</definedName>
    <definedName name="cst_wskakunin_kanri3_KENTIKUSI_NO">DATA!$F$610</definedName>
    <definedName name="cst_wskakunin_kanri3_NAME">DATA!$F$611</definedName>
    <definedName name="cst_wskakunin_kanri3_SIKAKU">DATA!$F$608</definedName>
    <definedName name="cst_wskakunin_kanri3_TEL">DATA!$F$619</definedName>
    <definedName name="cst_wskakunin_kanri3_TOUROKU_KIKAN">DATA!$F$609</definedName>
    <definedName name="cst_wskakunin_kanri3_ZIP">DATA!$F$617</definedName>
    <definedName name="cst_wskakunin_kanri4__address">DATA!$F$634</definedName>
    <definedName name="cst_wskakunin_kanri4__sikaku">DATA!$F$623</definedName>
    <definedName name="cst_wskakunin_kanri4_DOC">DATA!$F$636</definedName>
    <definedName name="cst_wskakunin_kanri4_JIMU__sikaku">DATA!$F$628</definedName>
    <definedName name="cst_wskakunin_kanri4_JIMU_NAME">DATA!$F$632</definedName>
    <definedName name="cst_wskakunin_kanri4_JIMU_NO">DATA!$F$631</definedName>
    <definedName name="cst_wskakunin_kanri4_JIMU_SIKAKU">DATA!$F$629</definedName>
    <definedName name="cst_wskakunin_kanri4_JIMU_TOUROKU_KIKAN">DATA!$F$630</definedName>
    <definedName name="cst_wskakunin_kanri4_KENTIKUSI_NO">DATA!$F$626</definedName>
    <definedName name="cst_wskakunin_kanri4_NAME">DATA!$F$627</definedName>
    <definedName name="cst_wskakunin_kanri4_SIKAKU">DATA!$F$624</definedName>
    <definedName name="cst_wskakunin_kanri4_TEL">DATA!$F$635</definedName>
    <definedName name="cst_wskakunin_kanri4_TOUROKU_KIKAN">DATA!$F$625</definedName>
    <definedName name="cst_wskakunin_kanri4_ZIP">DATA!$F$633</definedName>
    <definedName name="cst_wskakunin_kanri5__address">DATA!$F$650</definedName>
    <definedName name="cst_wskakunin_kanri5__sikaku">DATA!$F$639</definedName>
    <definedName name="cst_wskakunin_kanri5_DOC">DATA!$F$652</definedName>
    <definedName name="cst_wskakunin_kanri5_JIMU__sikaku">DATA!$F$644</definedName>
    <definedName name="cst_wskakunin_kanri5_JIMU_NAME">DATA!$F$648</definedName>
    <definedName name="cst_wskakunin_kanri5_JIMU_NO">DATA!$F$647</definedName>
    <definedName name="cst_wskakunin_kanri5_JIMU_SIKAKU">DATA!$F$645</definedName>
    <definedName name="cst_wskakunin_kanri5_JIMU_TOUROKU_KIKAN">DATA!$F$646</definedName>
    <definedName name="cst_wskakunin_kanri5_KENTIKUSI_NO">DATA!$F$642</definedName>
    <definedName name="cst_wskakunin_kanri5_NAME">DATA!$F$643</definedName>
    <definedName name="cst_wskakunin_kanri5_SIKAKU">DATA!$F$640</definedName>
    <definedName name="cst_wskakunin_kanri5_TEL">DATA!$F$651</definedName>
    <definedName name="cst_wskakunin_kanri5_TOUROKU_KIKAN">DATA!$F$641</definedName>
    <definedName name="cst_wskakunin_kanri5_ZIP">DATA!$F$649</definedName>
    <definedName name="cst_wskakunin_kanri6__address">DATA!$F$666</definedName>
    <definedName name="cst_wskakunin_kanri6__sikaku">DATA!$F$655</definedName>
    <definedName name="cst_wskakunin_kanri6_DOC">DATA!$F$668</definedName>
    <definedName name="cst_wskakunin_kanri6_JIMU__sikaku">DATA!$F$660</definedName>
    <definedName name="cst_wskakunin_kanri6_JIMU_NAME">DATA!$F$664</definedName>
    <definedName name="cst_wskakunin_kanri6_JIMU_NO">DATA!$F$663</definedName>
    <definedName name="cst_wskakunin_kanri6_JIMU_SIKAKU">DATA!$F$661</definedName>
    <definedName name="cst_wskakunin_kanri6_JIMU_TOUROKU_KIKAN">DATA!$F$662</definedName>
    <definedName name="cst_wskakunin_kanri6_KENTIKUSI_NO">DATA!$F$658</definedName>
    <definedName name="cst_wskakunin_kanri6_NAME">DATA!$F$659</definedName>
    <definedName name="cst_wskakunin_kanri6_SIKAKU">DATA!$F$656</definedName>
    <definedName name="cst_wskakunin_kanri6_TEL">DATA!$F$667</definedName>
    <definedName name="cst_wskakunin_kanri6_TOUROKU_KIKAN">DATA!$F$657</definedName>
    <definedName name="cst_wskakunin_kanri6_ZIP">DATA!$F$665</definedName>
    <definedName name="cst_wskakunin_kanri7__address">DATA!$F$682</definedName>
    <definedName name="cst_wskakunin_kanri7__sikaku">DATA!$F$671</definedName>
    <definedName name="cst_wskakunin_kanri7_DOC">DATA!$F$684</definedName>
    <definedName name="cst_wskakunin_kanri7_JIMU__sikaku">DATA!$F$676</definedName>
    <definedName name="cst_wskakunin_kanri7_JIMU_NAME">DATA!$F$680</definedName>
    <definedName name="cst_wskakunin_kanri7_JIMU_NO">DATA!$F$679</definedName>
    <definedName name="cst_wskakunin_kanri7_JIMU_SIKAKU">DATA!$F$677</definedName>
    <definedName name="cst_wskakunin_kanri7_JIMU_TOUROKU_KIKAN">DATA!$F$678</definedName>
    <definedName name="cst_wskakunin_kanri7_KENTIKUSI_NO">DATA!$F$674</definedName>
    <definedName name="cst_wskakunin_kanri7_NAME">DATA!$F$675</definedName>
    <definedName name="cst_wskakunin_kanri7_SIKAKU">DATA!$F$672</definedName>
    <definedName name="cst_wskakunin_kanri7_TEL">DATA!$F$683</definedName>
    <definedName name="cst_wskakunin_kanri7_TOUROKU_KIKAN">DATA!$F$673</definedName>
    <definedName name="cst_wskakunin_kanri7_ZIP">DATA!$F$681</definedName>
    <definedName name="cst_wskakunin_kanri8__address">DATA!$F$698</definedName>
    <definedName name="cst_wskakunin_kanri8__sikaku">DATA!$F$687</definedName>
    <definedName name="cst_wskakunin_kanri8_DOC">DATA!$F$700</definedName>
    <definedName name="cst_wskakunin_kanri8_JIMU__sikaku">DATA!$F$692</definedName>
    <definedName name="cst_wskakunin_kanri8_JIMU_NAME">DATA!$F$696</definedName>
    <definedName name="cst_wskakunin_kanri8_JIMU_NO">DATA!$F$695</definedName>
    <definedName name="cst_wskakunin_kanri8_JIMU_SIKAKU">DATA!$F$693</definedName>
    <definedName name="cst_wskakunin_kanri8_JIMU_TOUROKU_KIKAN">DATA!$F$694</definedName>
    <definedName name="cst_wskakunin_kanri8_KENTIKUSI_NO">DATA!$F$690</definedName>
    <definedName name="cst_wskakunin_kanri8_NAME">DATA!$F$691</definedName>
    <definedName name="cst_wskakunin_kanri8_SIKAKU">DATA!$F$688</definedName>
    <definedName name="cst_wskakunin_kanri8_TEL">DATA!$F$699</definedName>
    <definedName name="cst_wskakunin_kanri8_TOUROKU_KIKAN">DATA!$F$689</definedName>
    <definedName name="cst_wskakunin_kanri8_ZIP">DATA!$F$697</definedName>
    <definedName name="cst_wskakunin_kanri9__address">DATA!$F$714</definedName>
    <definedName name="cst_wskakunin_kanri9__sikaku">DATA!$F$703</definedName>
    <definedName name="cst_wskakunin_kanri9_DOC">DATA!$F$716</definedName>
    <definedName name="cst_wskakunin_kanri9_JIMU__sikaku">DATA!$F$708</definedName>
    <definedName name="cst_wskakunin_kanri9_JIMU_NAME">DATA!$F$712</definedName>
    <definedName name="cst_wskakunin_kanri9_JIMU_NO">DATA!$F$711</definedName>
    <definedName name="cst_wskakunin_kanri9_JIMU_SIKAKU">DATA!$F$709</definedName>
    <definedName name="cst_wskakunin_kanri9_JIMU_TOUROKU_KIKAN">DATA!$F$710</definedName>
    <definedName name="cst_wskakunin_kanri9_KENTIKUSI_NO">DATA!$F$706</definedName>
    <definedName name="cst_wskakunin_kanri9_NAME">DATA!$F$707</definedName>
    <definedName name="cst_wskakunin_kanri9_SIKAKU">DATA!$F$704</definedName>
    <definedName name="cst_wskakunin_kanri9_TEL">DATA!$F$715</definedName>
    <definedName name="cst_wskakunin_kanri9_TOUROKU_KIKAN">DATA!$F$705</definedName>
    <definedName name="cst_wskakunin_kanri9_ZIP">DATA!$F$713</definedName>
    <definedName name="cst_wskakunin_keibi_henkou01_HENKOU_GAIYOU">DATA!$F$1291</definedName>
    <definedName name="cst_wskakunin_keibi_henkou01_HENKOU_SYURUI">DATA!$F$1290</definedName>
    <definedName name="cst_wskakunin_KENPEI_RITU">DATA!$F$1013</definedName>
    <definedName name="cst_wskakunin_KENPEI_RITU_A">DATA!$F$952</definedName>
    <definedName name="cst_wskakunin_KENPEI_RITU_B">DATA!$F$953</definedName>
    <definedName name="cst_wskakunin_KENPEI_RITU_C">DATA!$F$954</definedName>
    <definedName name="cst_wskakunin_KENPEI_RITU_D">DATA!$F$955</definedName>
    <definedName name="cst_wskakunin_KENSA_YUKA_MENSEKI_select">DATA!$F$1199</definedName>
    <definedName name="cst_wskakunin_KENTIKU_MENSEKI_IGAI">DATA!$F$1011</definedName>
    <definedName name="cst_wskakunin_KENTIKU_MENSEKI_SHINSEI">DATA!$F$1010</definedName>
    <definedName name="cst_wskakunin_KENTIKU_MENSEKI_TOTAL">DATA!$F$1012</definedName>
    <definedName name="cst_wskakunin_KENTIKU_MENSEKI_ZENTAI_IGAI">DATA!$F$1008</definedName>
    <definedName name="cst_wskakunin_KENTIKU_MENSEKI_ZENTAI_SHINSEI">DATA!$F$1007</definedName>
    <definedName name="cst_wskakunin_KENTIKU_MENSEKI_ZENTAI_TOTAL">DATA!$F$1009</definedName>
    <definedName name="cst_wskakunin_KENTIKU_NINSYO_NO">DATA!$F$1187</definedName>
    <definedName name="cst_wskakunin_KIKAN_NAME">DATA!$F$51</definedName>
    <definedName name="cst_wskakunin_KOUJI_DAI_MOYOUGAE_box">DATA!$F$974</definedName>
    <definedName name="cst_wskakunin_KOUJI_DAI_SYUUZEN_box">DATA!$F$973</definedName>
    <definedName name="cst_wskakunin_KOUJI_ITEN_box">DATA!$F$971</definedName>
    <definedName name="cst_wskakunin_KOUJI_KAITIKU_box">DATA!$F$970</definedName>
    <definedName name="cst_wskakunin_KOUJI_KANRYOU_DATE_select">DATA!$F$1294</definedName>
    <definedName name="cst_wskakunin_KOUJI_KANRYOU_YOTEI_DATE">DATA!$F$1141</definedName>
    <definedName name="cst_wskakunin_KOUJI_KANRYOU_YOTEI_DATE_select">DATA!$F$1192</definedName>
    <definedName name="cst_wskakunin_KOUJI_SETUBI_box">DATA!$F$975</definedName>
    <definedName name="cst_wskakunin_KOUJI_SINTIKU_box">DATA!$F$968</definedName>
    <definedName name="cst_wskakunin_KOUJI_TYAKUSYU_DATE_select">DATA!$F$1189</definedName>
    <definedName name="cst_wskakunin_KOUJI_TYAKUSYU_YOTEI_DATE">DATA!$F$1139</definedName>
    <definedName name="cst_wskakunin_KOUJI_YOUTOHENKOU_box">DATA!$F$972</definedName>
    <definedName name="cst_wskakunin_KOUJI_ZOUTIKU_box">DATA!$F$969</definedName>
    <definedName name="cst_wskakunin_koutei_ikou01_KOUTEI_DATE">DATA!$F$1262</definedName>
    <definedName name="cst_wskakunin_koutei_ikou01_KOUTEI_DATE_inter1">DATA!$F$1272</definedName>
    <definedName name="cst_wskakunin_koutei_ikou01_KOUTEI_DATE_inter2">DATA!$F$1277</definedName>
    <definedName name="cst_wskakunin_koutei_ikou01_KOUTEI_KAISUU">DATA!$F$1260</definedName>
    <definedName name="cst_wskakunin_koutei_ikou01_KOUTEI_KAISUU_inter1">DATA!$F$1270</definedName>
    <definedName name="cst_wskakunin_koutei_ikou01_KOUTEI_KAISUU_inter2">DATA!$F$1275</definedName>
    <definedName name="cst_wskakunin_koutei_ikou01_KOUTEI_TEXT">DATA!$F$1261</definedName>
    <definedName name="cst_wskakunin_koutei_ikou01_KOUTEI_TEXT_inter1">DATA!$F$1271</definedName>
    <definedName name="cst_wskakunin_koutei_ikou01_KOUTEI_TEXT_inter2">DATA!$F$1276</definedName>
    <definedName name="cst_wskakunin_koutei_ikou02_KOUTEI_DATE">DATA!$F$1267</definedName>
    <definedName name="cst_wskakunin_koutei_ikou02_KOUTEI_DATE_inter1">DATA!$F$1282</definedName>
    <definedName name="cst_wskakunin_koutei_ikou02_KOUTEI_DATE_inter2">DATA!$F$1287</definedName>
    <definedName name="cst_wskakunin_koutei_ikou02_KOUTEI_KAISUU">DATA!$F$1265</definedName>
    <definedName name="cst_wskakunin_koutei_ikou02_KOUTEI_KAISUU_inter1">DATA!$F$1280</definedName>
    <definedName name="cst_wskakunin_koutei_ikou02_KOUTEI_KAISUU_inter2">DATA!$F$1285</definedName>
    <definedName name="cst_wskakunin_koutei_ikou02_KOUTEI_TEXT">DATA!$F$1266</definedName>
    <definedName name="cst_wskakunin_koutei_ikou02_KOUTEI_TEXT_inter1">DATA!$F$1281</definedName>
    <definedName name="cst_wskakunin_koutei_ikou02_KOUTEI_TEXT_inter2">DATA!$F$1286</definedName>
    <definedName name="cst_wskakunin_koutei_izen01_INTER_ISSUE_DATE">DATA!$F$1207</definedName>
    <definedName name="cst_wskakunin_koutei_izen01_INTER_ISSUE_DATE_inter1">DATA!$F$1235</definedName>
    <definedName name="cst_wskakunin_koutei_izen01_INTER_ISSUE_DATE_inter2">DATA!$F$1242</definedName>
    <definedName name="cst_wskakunin_koutei_izen01_INTER_ISSUE_NAME">DATA!$F$1205</definedName>
    <definedName name="cst_wskakunin_koutei_izen01_INTER_ISSUE_NAME_inter1">DATA!$F$1233</definedName>
    <definedName name="cst_wskakunin_koutei_izen01_INTER_ISSUE_NAME_inter2">DATA!$F$1240</definedName>
    <definedName name="cst_wskakunin_koutei_izen01_INTER_ISSUE_NO">DATA!$F$1206</definedName>
    <definedName name="cst_wskakunin_koutei_izen01_INTER_ISSUE_NO_inter1">DATA!$F$1234</definedName>
    <definedName name="cst_wskakunin_koutei_izen01_INTER_ISSUE_NO_inter2">DATA!$F$1241</definedName>
    <definedName name="cst_wskakunin_koutei_izen01_KOUTEI_KAISUU">DATA!$F$1203</definedName>
    <definedName name="cst_wskakunin_koutei_izen01_KOUTEI_KAISUU_inter1">DATA!$F$1231</definedName>
    <definedName name="cst_wskakunin_koutei_izen01_KOUTEI_KAISUU_inter2">DATA!$F$1238</definedName>
    <definedName name="cst_wskakunin_koutei_izen01_KOUTEI_TEXT">DATA!$F$1204</definedName>
    <definedName name="cst_wskakunin_koutei_izen01_KOUTEI_TEXT_inter1">DATA!$F$1232</definedName>
    <definedName name="cst_wskakunin_koutei_izen01_KOUTEI_TEXT_inter2">DATA!$F$1239</definedName>
    <definedName name="cst_wskakunin_koutei_izen02_INTER_ISSUE_DATE">DATA!$F$1214</definedName>
    <definedName name="cst_wskakunin_koutei_izen02_INTER_ISSUE_DATE_inter1">DATA!$F$1249</definedName>
    <definedName name="cst_wskakunin_koutei_izen02_INTER_ISSUE_DATE_inter2">DATA!$F$1256</definedName>
    <definedName name="cst_wskakunin_koutei_izen02_INTER_ISSUE_NAME">DATA!$F$1212</definedName>
    <definedName name="cst_wskakunin_koutei_izen02_INTER_ISSUE_NAME_inter1">DATA!$F$1247</definedName>
    <definedName name="cst_wskakunin_koutei_izen02_INTER_ISSUE_NAME_inter2">DATA!$F$1254</definedName>
    <definedName name="cst_wskakunin_koutei_izen02_INTER_ISSUE_NO">DATA!$F$1213</definedName>
    <definedName name="cst_wskakunin_koutei_izen02_INTER_ISSUE_NO_inter1">DATA!$F$1248</definedName>
    <definedName name="cst_wskakunin_koutei_izen02_INTER_ISSUE_NO_inter2">DATA!$F$1255</definedName>
    <definedName name="cst_wskakunin_koutei_izen02_KOUTEI_KAISUU">DATA!$F$1210</definedName>
    <definedName name="cst_wskakunin_koutei_izen02_KOUTEI_KAISUU_inter1">DATA!$F$1245</definedName>
    <definedName name="cst_wskakunin_koutei_izen02_KOUTEI_KAISUU_inter2">DATA!$F$1252</definedName>
    <definedName name="cst_wskakunin_koutei_izen02_KOUTEI_TEXT">DATA!$F$1211</definedName>
    <definedName name="cst_wskakunin_koutei_izen02_KOUTEI_TEXT_inter1">DATA!$F$1246</definedName>
    <definedName name="cst_wskakunin_koutei_izen02_KOUTEI_TEXT_inter2">DATA!$F$1253</definedName>
    <definedName name="cst_wskakunin_koutei_izen03_INTER_ISSUE_DATE">DATA!$F$1221</definedName>
    <definedName name="cst_wskakunin_koutei_izen03_INTER_ISSUE_NAME">DATA!$F$1219</definedName>
    <definedName name="cst_wskakunin_koutei_izen03_INTER_ISSUE_NO">DATA!$F$1220</definedName>
    <definedName name="cst_wskakunin_koutei_izen03_KOUTEI_KAISUU">DATA!$F$1217</definedName>
    <definedName name="cst_wskakunin_koutei_izen03_KOUTEI_TEXT">DATA!$F$1218</definedName>
    <definedName name="cst_wskakunin_koutei_izen04_INTER_ISSUE_DATE">DATA!$F$1228</definedName>
    <definedName name="cst_wskakunin_koutei_izen04_INTER_ISSUE_NAME">DATA!$F$1226</definedName>
    <definedName name="cst_wskakunin_koutei_izen04_INTER_ISSUE_NO">DATA!$F$1227</definedName>
    <definedName name="cst_wskakunin_koutei_izen04_KOUTEI_KAISUU">DATA!$F$1224</definedName>
    <definedName name="cst_wskakunin_koutei_izen04_KOUTEI_TEXT">DATA!$F$1225</definedName>
    <definedName name="cst_wskakunin_koutei_keika01_INTER_ISSUE_DATE_select">DATA!$F$1308</definedName>
    <definedName name="cst_wskakunin_koutei_keika01_INTER_ISSUE_NAME_select">DATA!$F$1306</definedName>
    <definedName name="cst_wskakunin_koutei_keika01_INTER_ISSUE_NO_select">DATA!$F$1307</definedName>
    <definedName name="cst_wskakunin_koutei_keika01_KOUTEI_KAISUU_select">DATA!$F$1304</definedName>
    <definedName name="cst_wskakunin_koutei_keika01_KOUTEI_TEXT_select">DATA!$F$1305</definedName>
    <definedName name="cst_wskakunin_koutei_keika02_INTER_ISSUE_DATE_select">DATA!$F$1323</definedName>
    <definedName name="cst_wskakunin_koutei_keika02_INTER_ISSUE_NAME_select">DATA!$F$1321</definedName>
    <definedName name="cst_wskakunin_koutei_keika02_INTER_ISSUE_NO_select">DATA!$F$1322</definedName>
    <definedName name="cst_wskakunin_koutei_keika02_KOUTEI_KAISUU_select">DATA!$F$1319</definedName>
    <definedName name="cst_wskakunin_koutei_keika02_KOUTEI_TEXT_select">DATA!$F$1320</definedName>
    <definedName name="cst_wskakunin_koutei01_INTER_ISSUE_DATE">DATA!$F$1301</definedName>
    <definedName name="cst_wskakunin_koutei01_INTER_ISSUE_NAME">DATA!$F$1299</definedName>
    <definedName name="cst_wskakunin_koutei01_INTER_ISSUE_NO">DATA!$F$1300</definedName>
    <definedName name="cst_wskakunin_koutei01_KOUTEI_DATE">DATA!$F$1150</definedName>
    <definedName name="cst_wskakunin_koutei01_KOUTEI_KAISUU">DATA!$F$1149</definedName>
    <definedName name="cst_wskakunin_koutei01_KOUTEI_TEXT">DATA!$F$1151</definedName>
    <definedName name="cst_wskakunin_koutei02_INTER_ISSUE_DATE">DATA!$F$1315</definedName>
    <definedName name="cst_wskakunin_koutei02_INTER_ISSUE_NAME">DATA!$F$1313</definedName>
    <definedName name="cst_wskakunin_koutei02_INTER_ISSUE_NO">DATA!$F$1314</definedName>
    <definedName name="cst_wskakunin_koutei02_KOUTEI_DATE">DATA!$F$1155</definedName>
    <definedName name="cst_wskakunin_koutei02_KOUTEI_KAISUU">DATA!$F$1154</definedName>
    <definedName name="cst_wskakunin_koutei02_KOUTEI_TEXT">DATA!$F$1156</definedName>
    <definedName name="cst_wskakunin_koutei03_KOUTEI_DATE">DATA!$F$1160</definedName>
    <definedName name="cst_wskakunin_koutei03_KOUTEI_KAISUU">DATA!$F$1159</definedName>
    <definedName name="cst_wskakunin_koutei03_KOUTEI_TEXT">DATA!$F$1161</definedName>
    <definedName name="cst_wskakunin_koutei04_KOUTEI_DATE">DATA!$F$1165</definedName>
    <definedName name="cst_wskakunin_koutei04_KOUTEI_KAISUU">DATA!$F$1164</definedName>
    <definedName name="cst_wskakunin_koutei04_KOUTEI_TEXT">DATA!$F$1166</definedName>
    <definedName name="cst_wskakunin_KOUZOU">DATA!$F$1101</definedName>
    <definedName name="cst_wskakunin_KOUZOU_mokuzou">DATA!$F$1099</definedName>
    <definedName name="cst_wskakunin_KOUZOU_zairai">DATA!$F$1100</definedName>
    <definedName name="cst_wskakunin_KOUZOU1">DATA!$F$1097</definedName>
    <definedName name="cst_wskakunin_KOUZOU2">DATA!$F$1098</definedName>
    <definedName name="cst_wskakunin_KUIKI_HISETTEI">DATA!$F$915</definedName>
    <definedName name="cst_wskakunin_KUIKI_JYUN_TOSHI">DATA!$F$916</definedName>
    <definedName name="cst_wskakunin_KUIKI_KUIKIGAI">DATA!$F$917</definedName>
    <definedName name="cst_wskakunin_KUIKI_SIGAIKA">DATA!$F$912</definedName>
    <definedName name="cst_wskakunin_KUIKI_TOSI">DATA!$F$909</definedName>
    <definedName name="cst_wskakunin_KUIKI_TYOSEI">DATA!$F$914</definedName>
    <definedName name="cst_wskakunin_kyoka_HOUREI_all">DATA!$F$1137</definedName>
    <definedName name="cst_wskakunin_kyoka01_BIKOU">DATA!$F$1118</definedName>
    <definedName name="cst_wskakunin_kyoka01_HOUREI">DATA!$F$1114</definedName>
    <definedName name="cst_wskakunin_kyoka01_JOUKOU">DATA!$F$1115</definedName>
    <definedName name="cst_wskakunin_kyoka01_KYOKA_DATE">DATA!$F$1117</definedName>
    <definedName name="cst_wskakunin_kyoka01_KYOKA_NO">DATA!$F$1116</definedName>
    <definedName name="cst_wskakunin_kyoka02_BIKOU">DATA!$F$1126</definedName>
    <definedName name="cst_wskakunin_kyoka02_HOUREI">DATA!$F$1122</definedName>
    <definedName name="cst_wskakunin_kyoka02_JOUKOU">DATA!$F$1123</definedName>
    <definedName name="cst_wskakunin_kyoka02_KYOKA_DATE">DATA!$F$1125</definedName>
    <definedName name="cst_wskakunin_kyoka02_KYOKA_NO">DATA!$F$1124</definedName>
    <definedName name="cst_wskakunin_kyoka03_BIKOU">DATA!$F$1134</definedName>
    <definedName name="cst_wskakunin_kyoka03_HOUREI">DATA!$F$1130</definedName>
    <definedName name="cst_wskakunin_kyoka03_JOUKOU">DATA!$F$1131</definedName>
    <definedName name="cst_wskakunin_kyoka03_KYOKA_DATE">DATA!$F$1133</definedName>
    <definedName name="cst_wskakunin_kyoka03_KYOKA_NO">DATA!$F$1132</definedName>
    <definedName name="cst_wskakunin_LAST_ISSUE_DATE">DATA!$F$56</definedName>
    <definedName name="cst_wskakunin_LAST_ISSUE_NAME">DATA!$F$57</definedName>
    <definedName name="cst_wskakunin_LAST_ISSUE_NO">DATA!$F$55</definedName>
    <definedName name="cst_wskakunin_LIMIT_KENPEI_RITU">DATA!$F$960</definedName>
    <definedName name="cst_wskakunin_LIMIT_YOUSEKI_RITU">DATA!$F$959</definedName>
    <definedName name="cst_wskakunin_NOBE_MENSEKI">DATA!$F$1077</definedName>
    <definedName name="cst_wskakunin_NOBE_MENSEKI_BITIKUSOUKO_IGAI">DATA!$F$1043</definedName>
    <definedName name="cst_wskakunin_NOBE_MENSEKI_BITIKUSOUKO_SHINSEI">DATA!$F$1042</definedName>
    <definedName name="cst_wskakunin_NOBE_MENSEKI_BITIKUSOUKO_TOTAL">DATA!$F$1044</definedName>
    <definedName name="cst_wskakunin_NOBE_MENSEKI_BUILD_IGAI">DATA!$F$1018</definedName>
    <definedName name="cst_wskakunin_NOBE_MENSEKI_BUILD_SHINSEI">DATA!$F$1017</definedName>
    <definedName name="cst_wskakunin_NOBE_MENSEKI_BUILD_TOTAL">DATA!$F$1019</definedName>
    <definedName name="cst_wskakunin_NOBE_MENSEKI_CHOSUISOU_IGAI">DATA!$F$1058</definedName>
    <definedName name="cst_wskakunin_NOBE_MENSEKI_CHOSUISOU_SHINSEI">DATA!$F$1057</definedName>
    <definedName name="cst_wskakunin_NOBE_MENSEKI_CHOSUISOU_TOTAL">DATA!$F$1059</definedName>
    <definedName name="cst_wskakunin_NOBE_MENSEKI_JIKAHATUDEN_IGAI">DATA!$F$1053</definedName>
    <definedName name="cst_wskakunin_NOBE_MENSEKI_JIKAHATUDEN_SHINSEI">DATA!$F$1052</definedName>
    <definedName name="cst_wskakunin_NOBE_MENSEKI_JIKAHATUDEN_TOTAL">DATA!$F$1054</definedName>
    <definedName name="cst_wskakunin_NOBE_MENSEKI_JYUTAKU_IGAI">DATA!$F$1068</definedName>
    <definedName name="cst_wskakunin_NOBE_MENSEKI_JYUTAKU_SHINSEI">DATA!$F$1067</definedName>
    <definedName name="cst_wskakunin_NOBE_MENSEKI_JYUTAKU_TOTAL">DATA!$F$1069</definedName>
    <definedName name="cst_wskakunin_NOBE_MENSEKI_KYOYOU_IGAI">DATA!$F$1033</definedName>
    <definedName name="cst_wskakunin_NOBE_MENSEKI_KYOYOU_SHINSEI">DATA!$F$1032</definedName>
    <definedName name="cst_wskakunin_NOBE_MENSEKI_KYOYOU_TOTAL">DATA!$F$1034</definedName>
    <definedName name="cst_wskakunin_NOBE_MENSEKI_ROUJIN_IGAI">DATA!$F$1073</definedName>
    <definedName name="cst_wskakunin_NOBE_MENSEKI_ROUJIN_SHINSEI">DATA!$F$1072</definedName>
    <definedName name="cst_wskakunin_NOBE_MENSEKI_ROUJIN_TOTAL">DATA!$F$1074</definedName>
    <definedName name="cst_wskakunin_NOBE_MENSEKI_SYAKO_IGAI">DATA!$F$1038</definedName>
    <definedName name="cst_wskakunin_NOBE_MENSEKI_SYAKO_SHINSEI">DATA!$F$1037</definedName>
    <definedName name="cst_wskakunin_NOBE_MENSEKI_SYAKO_TOTAL">DATA!$F$1039</definedName>
    <definedName name="cst_wskakunin_NOBE_MENSEKI_SYOUKOURO_IGAI">DATA!$F$1028</definedName>
    <definedName name="cst_wskakunin_NOBE_MENSEKI_SYOUKOURO_SHINSEI">DATA!$F$1027</definedName>
    <definedName name="cst_wskakunin_NOBE_MENSEKI_SYOUKOURO_TOTAL">DATA!$F$1029</definedName>
    <definedName name="cst_wskakunin_NOBE_MENSEKI_TAKUHAI_IGAI">DATA!$F$1063</definedName>
    <definedName name="cst_wskakunin_NOBE_MENSEKI_TAKUHAI_SHINSEI">DATA!$F$1062</definedName>
    <definedName name="cst_wskakunin_NOBE_MENSEKI_TAKUHAI_TOTAL">DATA!$F$1064</definedName>
    <definedName name="cst_wskakunin_NOBE_MENSEKI_TIKAI_IGAI">DATA!$F$1023</definedName>
    <definedName name="cst_wskakunin_NOBE_MENSEKI_TIKAI_SHINSEI">DATA!$F$1022</definedName>
    <definedName name="cst_wskakunin_NOBE_MENSEKI_TIKAI_TOTAL">DATA!$F$1024</definedName>
    <definedName name="cst_wskakunin_NOBE_MENSEKI_TIKUDENTI_IGAI">DATA!$F$1048</definedName>
    <definedName name="cst_wskakunin_NOBE_MENSEKI_TIKUDENTI_SHINSEI">DATA!$F$1047</definedName>
    <definedName name="cst_wskakunin_NOBE_MENSEKI_TIKUDENTI_TOTAL">DATA!$F$1049</definedName>
    <definedName name="cst_wskakunin_owner1__address">DATA!$F$81</definedName>
    <definedName name="cst_wskakunin_owner1__space">DATA!$F$83</definedName>
    <definedName name="cst_wskakunin_owner1__space_KANA">DATA!$F$77</definedName>
    <definedName name="cst_wskakunin_owner1__space_KANA2">DATA!$F$78</definedName>
    <definedName name="cst_wskakunin_owner1__space2">DATA!$F$84</definedName>
    <definedName name="cst_wskakunin_owner1__space3">DATA!$F$85</definedName>
    <definedName name="cst_wskakunin_owner1__space4">DATA!$F$86</definedName>
    <definedName name="cst_wskakunin_owner1_JIMU_NAME">DATA!$F$71</definedName>
    <definedName name="cst_wskakunin_owner1_JIMU_NAME_KANA">DATA!$F$72</definedName>
    <definedName name="cst_wskakunin_owner1_NAME">DATA!$F$75</definedName>
    <definedName name="cst_wskakunin_owner1_NAME_KANA">DATA!$F$76</definedName>
    <definedName name="cst_wskakunin_owner1_POST">DATA!$F$73</definedName>
    <definedName name="cst_wskakunin_owner1_POST_KANA">DATA!$F$74</definedName>
    <definedName name="cst_wskakunin_owner1_TEL">DATA!$F$82</definedName>
    <definedName name="cst_wskakunin_owner1_ZIP">DATA!$F$79</definedName>
    <definedName name="cst_wskakunin_owner1_ZIP2">DATA!$F$80</definedName>
    <definedName name="cst_wskakunin_owner2__address">DATA!$F$96</definedName>
    <definedName name="cst_wskakunin_owner2__space">DATA!$F$98</definedName>
    <definedName name="cst_wskakunin_owner2__space2">DATA!$F$99</definedName>
    <definedName name="cst_wskakunin_owner2__space3">DATA!$F$100</definedName>
    <definedName name="cst_wskakunin_owner2_JIMU_NAME">DATA!$F$89</definedName>
    <definedName name="cst_wskakunin_owner2_JIMU_NAME_KANA">DATA!$F$90</definedName>
    <definedName name="cst_wskakunin_owner2_NAME">DATA!$F$93</definedName>
    <definedName name="cst_wskakunin_owner2_NAME_KANA">DATA!$F$94</definedName>
    <definedName name="cst_wskakunin_owner2_POST">DATA!$F$91</definedName>
    <definedName name="cst_wskakunin_owner2_POST_KANA">DATA!$F$92</definedName>
    <definedName name="cst_wskakunin_owner2_TEL">DATA!$F$97</definedName>
    <definedName name="cst_wskakunin_owner2_ZIP">DATA!$F$95</definedName>
    <definedName name="cst_wskakunin_owner3__address">DATA!$F$110</definedName>
    <definedName name="cst_wskakunin_owner3__space">DATA!$F$112</definedName>
    <definedName name="cst_wskakunin_owner3__space2">DATA!$F$113</definedName>
    <definedName name="cst_wskakunin_owner3_JIMU_NAME">DATA!$F$103</definedName>
    <definedName name="cst_wskakunin_owner3_JIMU_NAME_KANA">DATA!$F$104</definedName>
    <definedName name="cst_wskakunin_owner3_NAME">DATA!$F$107</definedName>
    <definedName name="cst_wskakunin_owner3_NAME_KANA">DATA!$F$108</definedName>
    <definedName name="cst_wskakunin_owner3_POST">DATA!$F$105</definedName>
    <definedName name="cst_wskakunin_owner3_POST_KANA">DATA!$F$106</definedName>
    <definedName name="cst_wskakunin_owner3_TEL">DATA!$F$111</definedName>
    <definedName name="cst_wskakunin_owner3_ZIP">DATA!$F$109</definedName>
    <definedName name="cst_wskakunin_owner4__address">DATA!$F$123</definedName>
    <definedName name="cst_wskakunin_owner4__space">DATA!$F$125</definedName>
    <definedName name="cst_wskakunin_owner4__space2">DATA!$F$126</definedName>
    <definedName name="cst_wskakunin_owner4_JIMU_NAME">DATA!$F$116</definedName>
    <definedName name="cst_wskakunin_owner4_JIMU_NAME_KANA">DATA!$F$117</definedName>
    <definedName name="cst_wskakunin_owner4_NAME">DATA!$F$120</definedName>
    <definedName name="cst_wskakunin_owner4_NAME_KANA">DATA!$F$121</definedName>
    <definedName name="cst_wskakunin_owner4_POST">DATA!$F$118</definedName>
    <definedName name="cst_wskakunin_owner4_POST_KANA">DATA!$F$119</definedName>
    <definedName name="cst_wskakunin_owner4_TEL">DATA!$F$124</definedName>
    <definedName name="cst_wskakunin_owner4_ZIP">DATA!$F$122</definedName>
    <definedName name="cst_wskakunin_owner5__address">DATA!$F$136</definedName>
    <definedName name="cst_wskakunin_owner5__space">DATA!$F$138</definedName>
    <definedName name="cst_wskakunin_owner5_JIMU_NAME">DATA!$F$129</definedName>
    <definedName name="cst_wskakunin_owner5_JIMU_NAME_KANA">DATA!$F$130</definedName>
    <definedName name="cst_wskakunin_owner5_NAME">DATA!$F$133</definedName>
    <definedName name="cst_wskakunin_owner5_NAME_KANA">DATA!$F$134</definedName>
    <definedName name="cst_wskakunin_owner5_POST">DATA!$F$131</definedName>
    <definedName name="cst_wskakunin_owner5_POST_KANA">DATA!$F$132</definedName>
    <definedName name="cst_wskakunin_owner5_TEL">DATA!$F$137</definedName>
    <definedName name="cst_wskakunin_owner5_ZIP">DATA!$F$135</definedName>
    <definedName name="cst_wskakunin_owner6__address">DATA!$F$148</definedName>
    <definedName name="cst_wskakunin_owner6__space2">DATA!$F$159</definedName>
    <definedName name="cst_wskakunin_owner6__space3">DATA!$F$150</definedName>
    <definedName name="cst_wskakunin_owner6_JIMU_NAME">DATA!$F$141</definedName>
    <definedName name="cst_wskakunin_owner6_JIMU_NAME_KANA">DATA!$F$142</definedName>
    <definedName name="cst_wskakunin_owner6_NAME">DATA!$F$145</definedName>
    <definedName name="cst_wskakunin_owner6_NAME_KANA">DATA!$F$146</definedName>
    <definedName name="cst_wskakunin_owner6_POST">DATA!$F$143</definedName>
    <definedName name="cst_wskakunin_owner6_POST_KANA">DATA!$F$144</definedName>
    <definedName name="cst_wskakunin_owner6_TEL">DATA!$F$149</definedName>
    <definedName name="cst_wskakunin_owner6_ZIP">DATA!$F$147</definedName>
    <definedName name="cst_wskakunin_owner7__address">DATA!$F$160</definedName>
    <definedName name="cst_wskakunin_owner7_JIMU_NAME">DATA!$F$153</definedName>
    <definedName name="cst_wskakunin_owner7_JIMU_NAME_KANA">DATA!$F$154</definedName>
    <definedName name="cst_wskakunin_owner7_NAME">DATA!$F$157</definedName>
    <definedName name="cst_wskakunin_owner7_NAME_KANA">DATA!$F$158</definedName>
    <definedName name="cst_wskakunin_owner7_POST">DATA!$F$155</definedName>
    <definedName name="cst_wskakunin_owner7_POST_KANA">DATA!$F$156</definedName>
    <definedName name="cst_wskakunin_owner7_TEL">DATA!$F$161</definedName>
    <definedName name="cst_wskakunin_owner7_ZIP">DATA!$F$159</definedName>
    <definedName name="cst_wskakunin_owner8__address">DATA!$F$171</definedName>
    <definedName name="cst_wskakunin_owner8_JIMU_NAME">DATA!$F$164</definedName>
    <definedName name="cst_wskakunin_owner8_JIMU_NAME_KANA">DATA!$F$165</definedName>
    <definedName name="cst_wskakunin_owner8_NAME">DATA!$F$168</definedName>
    <definedName name="cst_wskakunin_owner8_NAME_KANA">DATA!$F$169</definedName>
    <definedName name="cst_wskakunin_owner8_POST">DATA!$F$166</definedName>
    <definedName name="cst_wskakunin_owner8_POST_KANA">DATA!$F$167</definedName>
    <definedName name="cst_wskakunin_owner8_TEL">DATA!$F$172</definedName>
    <definedName name="cst_wskakunin_owner8_ZIP">DATA!$F$170</definedName>
    <definedName name="cst_wskakunin_owner9__address">DATA!$F$182</definedName>
    <definedName name="cst_wskakunin_owner9_JIMU_NAME">DATA!$F$175</definedName>
    <definedName name="cst_wskakunin_owner9_JIMU_NAME_KANA">DATA!$F$176</definedName>
    <definedName name="cst_wskakunin_owner9_NAME">DATA!$F$179</definedName>
    <definedName name="cst_wskakunin_owner9_NAME_KANA">DATA!$F$180</definedName>
    <definedName name="cst_wskakunin_owner9_POST">DATA!$F$177</definedName>
    <definedName name="cst_wskakunin_owner9_POST_KANA">DATA!$F$178</definedName>
    <definedName name="cst_wskakunin_owner9_TEL">DATA!$F$183</definedName>
    <definedName name="cst_wskakunin_owner9_ZIP">DATA!$F$181</definedName>
    <definedName name="cst_wskakunin_P1_HENKOU_GAIYOU">DATA!$F$58</definedName>
    <definedName name="cst_wskakunin_P2_BIKOU">DATA!$F$832</definedName>
    <definedName name="cst_wskakunin_P3_BIKOU">DATA!$F$1174</definedName>
    <definedName name="cst_wskakunin_P3_SONOTA">DATA!$F$1172</definedName>
    <definedName name="cst_wskakunin_p4_1__kouji">DATA!$F$873</definedName>
    <definedName name="cst_wskakunin_p4_1_KAISU_TIKAI">DATA!$F$875</definedName>
    <definedName name="cst_wskakunin_p4_1_KAISU_TIKAI_NOZOKU">DATA!$F$874</definedName>
    <definedName name="cst_wskakunin_p4_1_KOUZOU1">DATA!$F$876</definedName>
    <definedName name="cst_wskakunin_p4_1_KOUZOU2">DATA!$F$877</definedName>
    <definedName name="cst_wskakunin_p4_1_TAKASA_KEN_MAX">DATA!$F$879</definedName>
    <definedName name="cst_wskakunin_p4_1_TAKASA_MAX">DATA!$F$878</definedName>
    <definedName name="cst_wskakunin_p4_1_TOKUREI">DATA!$F$894</definedName>
    <definedName name="cst_wskakunin_p4_1_youto1_YOUTO">DATA!$F$864</definedName>
    <definedName name="cst_wskakunin_p4_1_youto1_YOUTO_1">DATA!$F$866</definedName>
    <definedName name="cst_wskakunin_p4_1_youto1_YOUTO_2">DATA!$F$867</definedName>
    <definedName name="cst_wskakunin_p4_1_youto1_YOUTO_3">DATA!$F$868</definedName>
    <definedName name="cst_wskakunin_p4_1_youto1_YOUTO_4">DATA!$F$869</definedName>
    <definedName name="cst_wskakunin_p4_1_youto1_YOUTO_5">DATA!$F$870</definedName>
    <definedName name="cst_wskakunin_p4_1_youto1_YOUTO_6">DATA!$F$871</definedName>
    <definedName name="cst_wskakunin_p4_1_youto1_YOUTO_9">DATA!$F$872</definedName>
    <definedName name="cst_wskakunin_p4_1_youto1_YOUTO_CODE">DATA!$F$865</definedName>
    <definedName name="cst_wskakunin_p4_1_YUKA_MENSEKI_SHINSEI">DATA!$F$880</definedName>
    <definedName name="cst_wskakunin_p4_2_KAISU_TIKAI">DATA!$F$883</definedName>
    <definedName name="cst_wskakunin_p4_2_KAISU_TIKAI_NOZOKU">DATA!$F$882</definedName>
    <definedName name="cst_wskakunin_p4_2_YUKA_MENSEKI_SHINSEI">DATA!$F$884</definedName>
    <definedName name="cst_wskakunin_p4_3_KAISU_TIKAI">DATA!$F$887</definedName>
    <definedName name="cst_wskakunin_p4_3_KAISU_TIKAI_NOZOKU">DATA!$F$886</definedName>
    <definedName name="cst_wskakunin_p4_3_YUKA_MENSEKI_SHINSEI">DATA!$F$888</definedName>
    <definedName name="cst_wskakunin_PAGE1_ALTERATION_NOTE">DATA!$F$65</definedName>
    <definedName name="cst_wskakunin_sekkei1__address">DATA!$F$288</definedName>
    <definedName name="cst_wskakunin_sekkei1__sikaku">DATA!$F$276</definedName>
    <definedName name="cst_wskakunin_sekkei1_DOC">DATA!$F$290</definedName>
    <definedName name="cst_wskakunin_sekkei1_JIMU__sikaku">DATA!$F$281</definedName>
    <definedName name="cst_wskakunin_sekkei1_JIMU_NAME">DATA!$F$285</definedName>
    <definedName name="cst_wskakunin_sekkei1_JIMU_NO">DATA!$F$284</definedName>
    <definedName name="cst_wskakunin_sekkei1_JIMU_SIKAKU">DATA!$F$282</definedName>
    <definedName name="cst_wskakunin_sekkei1_JIMU_TOUROKU_KIKAN">DATA!$F$283</definedName>
    <definedName name="cst_wskakunin_sekkei1_jimuname_name">DATA!$F$286</definedName>
    <definedName name="cst_wskakunin_sekkei1_KENTIKUSI_NO">DATA!$F$279</definedName>
    <definedName name="cst_wskakunin_sekkei1_NAME">DATA!$F$280</definedName>
    <definedName name="cst_wskakunin_sekkei1_SIKAKU">DATA!$F$277</definedName>
    <definedName name="cst_wskakunin_sekkei1_TEL">DATA!$F$289</definedName>
    <definedName name="cst_wskakunin_sekkei1_TOUROKU_KIKAN">DATA!$F$278</definedName>
    <definedName name="cst_wskakunin_sekkei1_ZIP">DATA!$F$287</definedName>
    <definedName name="cst_wskakunin_sekkei10__address">DATA!$F$441</definedName>
    <definedName name="cst_wskakunin_sekkei10__sikaku">DATA!$F$429</definedName>
    <definedName name="cst_wskakunin_sekkei10_DOC">DATA!$F$443</definedName>
    <definedName name="cst_wskakunin_sekkei10_JIMU__sikaku">DATA!$F$434</definedName>
    <definedName name="cst_wskakunin_sekkei10_JIMU_NAME">DATA!$F$438</definedName>
    <definedName name="cst_wskakunin_sekkei10_JIMU_NO">DATA!$F$437</definedName>
    <definedName name="cst_wskakunin_sekkei10_JIMU_SIKAKU">DATA!$F$435</definedName>
    <definedName name="cst_wskakunin_sekkei10_JIMU_TOUROKU_KIKAN">DATA!$F$436</definedName>
    <definedName name="cst_wskakunin_sekkei10_jimuname_name">DATA!$F$439</definedName>
    <definedName name="cst_wskakunin_sekkei10_KENTIKUSI_NO">DATA!$F$432</definedName>
    <definedName name="cst_wskakunin_sekkei10_NAME">DATA!$F$433</definedName>
    <definedName name="cst_wskakunin_sekkei10_SIKAKU">DATA!$F$430</definedName>
    <definedName name="cst_wskakunin_sekkei10_TEL">DATA!$F$442</definedName>
    <definedName name="cst_wskakunin_sekkei10_TOUROKU_KIKAN">DATA!$F$431</definedName>
    <definedName name="cst_wskakunin_sekkei10_ZIP">DATA!$F$440</definedName>
    <definedName name="cst_wskakunin_sekkei11__address">DATA!$F$458</definedName>
    <definedName name="cst_wskakunin_sekkei11__sikaku">DATA!$F$446</definedName>
    <definedName name="cst_wskakunin_sekkei11_DOC">DATA!$F$460</definedName>
    <definedName name="cst_wskakunin_sekkei11_JIMU__sikaku">DATA!$F$451</definedName>
    <definedName name="cst_wskakunin_sekkei11_JIMU_NAME">DATA!$F$455</definedName>
    <definedName name="cst_wskakunin_sekkei11_JIMU_NO">DATA!$F$454</definedName>
    <definedName name="cst_wskakunin_sekkei11_JIMU_SIKAKU">DATA!$F$452</definedName>
    <definedName name="cst_wskakunin_sekkei11_JIMU_TOUROKU_KIKAN">DATA!$F$453</definedName>
    <definedName name="cst_wskakunin_sekkei11_jimuname_name">DATA!$F$456</definedName>
    <definedName name="cst_wskakunin_sekkei11_KENTIKUSI_NO">DATA!$F$449</definedName>
    <definedName name="cst_wskakunin_sekkei11_NAME">DATA!$F$450</definedName>
    <definedName name="cst_wskakunin_sekkei11_SIKAKU">DATA!$F$447</definedName>
    <definedName name="cst_wskakunin_sekkei11_TEL">DATA!$F$459</definedName>
    <definedName name="cst_wskakunin_sekkei11_TOUROKU_KIKAN">DATA!$F$448</definedName>
    <definedName name="cst_wskakunin_sekkei11_ZIP">DATA!$F$457</definedName>
    <definedName name="cst_wskakunin_sekkei12__address">DATA!$F$475</definedName>
    <definedName name="cst_wskakunin_sekkei12__sikaku">DATA!$F$463</definedName>
    <definedName name="cst_wskakunin_sekkei12_DOC">DATA!$F$477</definedName>
    <definedName name="cst_wskakunin_sekkei12_JIMU__sikaku">DATA!$F$468</definedName>
    <definedName name="cst_wskakunin_sekkei12_JIMU_NAME">DATA!$F$472</definedName>
    <definedName name="cst_wskakunin_sekkei12_JIMU_NO">DATA!$F$471</definedName>
    <definedName name="cst_wskakunin_sekkei12_JIMU_SIKAKU">DATA!$F$469</definedName>
    <definedName name="cst_wskakunin_sekkei12_JIMU_TOUROKU_KIKAN">DATA!$F$470</definedName>
    <definedName name="cst_wskakunin_sekkei12_jimuname_name">DATA!$F$473</definedName>
    <definedName name="cst_wskakunin_sekkei12_KENTIKUSI_NO">DATA!$F$466</definedName>
    <definedName name="cst_wskakunin_sekkei12_NAME">DATA!$F$467</definedName>
    <definedName name="cst_wskakunin_sekkei12_SIKAKU">DATA!$F$464</definedName>
    <definedName name="cst_wskakunin_sekkei12_TEL">DATA!$F$476</definedName>
    <definedName name="cst_wskakunin_sekkei12_TOUROKU_KIKAN">DATA!$F$465</definedName>
    <definedName name="cst_wskakunin_sekkei12_ZIP">DATA!$F$474</definedName>
    <definedName name="cst_wskakunin_sekkei2__address">DATA!$F$305</definedName>
    <definedName name="cst_wskakunin_sekkei2__sikaku">DATA!$F$293</definedName>
    <definedName name="cst_wskakunin_sekkei2_DOC">DATA!$F$307</definedName>
    <definedName name="cst_wskakunin_sekkei2_JIMU__sikaku">DATA!$F$298</definedName>
    <definedName name="cst_wskakunin_sekkei2_JIMU_NAME">DATA!$F$302</definedName>
    <definedName name="cst_wskakunin_sekkei2_JIMU_NO">DATA!$F$301</definedName>
    <definedName name="cst_wskakunin_sekkei2_JIMU_SIKAKU">DATA!$F$299</definedName>
    <definedName name="cst_wskakunin_sekkei2_JIMU_TOUROKU_KIKAN">DATA!$F$300</definedName>
    <definedName name="cst_wskakunin_sekkei2_jimuname_name">DATA!$F$303</definedName>
    <definedName name="cst_wskakunin_sekkei2_KENTIKUSI_NO">DATA!$F$296</definedName>
    <definedName name="cst_wskakunin_sekkei2_NAME">DATA!$F$297</definedName>
    <definedName name="cst_wskakunin_sekkei2_SIKAKU">DATA!$F$294</definedName>
    <definedName name="cst_wskakunin_sekkei2_TEL">DATA!$F$306</definedName>
    <definedName name="cst_wskakunin_sekkei2_TOUROKU_KIKAN">DATA!$F$295</definedName>
    <definedName name="cst_wskakunin_sekkei2_ZIP">DATA!$F$304</definedName>
    <definedName name="cst_wskakunin_sekkei3__address">DATA!$F$322</definedName>
    <definedName name="cst_wskakunin_sekkei3__sikaku">DATA!$F$310</definedName>
    <definedName name="cst_wskakunin_sekkei3_DOC">DATA!$F$324</definedName>
    <definedName name="cst_wskakunin_sekkei3_JIMU__sikaku">DATA!$F$315</definedName>
    <definedName name="cst_wskakunin_sekkei3_JIMU_NAME">DATA!$F$319</definedName>
    <definedName name="cst_wskakunin_sekkei3_JIMU_NO">DATA!$F$318</definedName>
    <definedName name="cst_wskakunin_sekkei3_JIMU_SIKAKU">DATA!$F$316</definedName>
    <definedName name="cst_wskakunin_sekkei3_JIMU_TOUROKU_KIKAN">DATA!$F$317</definedName>
    <definedName name="cst_wskakunin_sekkei3_jimuname_name">DATA!$F$320</definedName>
    <definedName name="cst_wskakunin_sekkei3_KENTIKUSI_NO">DATA!$F$313</definedName>
    <definedName name="cst_wskakunin_sekkei3_NAME">DATA!$F$314</definedName>
    <definedName name="cst_wskakunin_sekkei3_SIKAKU">DATA!$F$311</definedName>
    <definedName name="cst_wskakunin_sekkei3_TEL">DATA!$F$323</definedName>
    <definedName name="cst_wskakunin_sekkei3_TOUROKU_KIKAN">DATA!$F$312</definedName>
    <definedName name="cst_wskakunin_sekkei3_ZIP">DATA!$F$321</definedName>
    <definedName name="cst_wskakunin_sekkei4__address">DATA!$F$339</definedName>
    <definedName name="cst_wskakunin_sekkei4__sikaku">DATA!$F$327</definedName>
    <definedName name="cst_wskakunin_sekkei4_DOC">DATA!$F$341</definedName>
    <definedName name="cst_wskakunin_sekkei4_JIMU__sikaku">DATA!$F$332</definedName>
    <definedName name="cst_wskakunin_sekkei4_JIMU_NAME">DATA!$F$336</definedName>
    <definedName name="cst_wskakunin_sekkei4_JIMU_NO">DATA!$F$335</definedName>
    <definedName name="cst_wskakunin_sekkei4_JIMU_SIKAKU">DATA!$F$333</definedName>
    <definedName name="cst_wskakunin_sekkei4_JIMU_TOUROKU_KIKAN">DATA!$F$334</definedName>
    <definedName name="cst_wskakunin_sekkei4_jimuname_name">DATA!$F$337</definedName>
    <definedName name="cst_wskakunin_sekkei4_KENTIKUSI_NO">DATA!$F$330</definedName>
    <definedName name="cst_wskakunin_sekkei4_NAME">DATA!$F$331</definedName>
    <definedName name="cst_wskakunin_sekkei4_SIKAKU">DATA!$F$328</definedName>
    <definedName name="cst_wskakunin_sekkei4_TEL">DATA!$F$340</definedName>
    <definedName name="cst_wskakunin_sekkei4_TOUROKU_KIKAN">DATA!$F$329</definedName>
    <definedName name="cst_wskakunin_sekkei4_ZIP">DATA!$F$338</definedName>
    <definedName name="cst_wskakunin_sekkei5__address">DATA!$F$356</definedName>
    <definedName name="cst_wskakunin_sekkei5__sikaku">DATA!$F$344</definedName>
    <definedName name="cst_wskakunin_sekkei5_DOC">DATA!$F$358</definedName>
    <definedName name="cst_wskakunin_sekkei5_JIMU__sikaku">DATA!$F$349</definedName>
    <definedName name="cst_wskakunin_sekkei5_JIMU_NAME">DATA!$F$353</definedName>
    <definedName name="cst_wskakunin_sekkei5_JIMU_NO">DATA!$F$352</definedName>
    <definedName name="cst_wskakunin_sekkei5_JIMU_SIKAKU">DATA!$F$350</definedName>
    <definedName name="cst_wskakunin_sekkei5_JIMU_TOUROKU_KIKAN">DATA!$F$351</definedName>
    <definedName name="cst_wskakunin_sekkei5_jimuname_name">DATA!$F$354</definedName>
    <definedName name="cst_wskakunin_sekkei5_KENTIKUSI_NO">DATA!$F$347</definedName>
    <definedName name="cst_wskakunin_sekkei5_NAME">DATA!$F$348</definedName>
    <definedName name="cst_wskakunin_sekkei5_SIKAKU">DATA!$F$345</definedName>
    <definedName name="cst_wskakunin_sekkei5_TEL">DATA!$F$357</definedName>
    <definedName name="cst_wskakunin_sekkei5_TOUROKU_KIKAN">DATA!$F$346</definedName>
    <definedName name="cst_wskakunin_sekkei5_ZIP">DATA!$F$355</definedName>
    <definedName name="cst_wskakunin_sekkei6__address">DATA!$F$373</definedName>
    <definedName name="cst_wskakunin_sekkei6__sikaku">DATA!$F$361</definedName>
    <definedName name="cst_wskakunin_sekkei6_DOC">DATA!$F$375</definedName>
    <definedName name="cst_wskakunin_sekkei6_JIMU__sikaku">DATA!$F$366</definedName>
    <definedName name="cst_wskakunin_sekkei6_JIMU_NAME">DATA!$F$370</definedName>
    <definedName name="cst_wskakunin_sekkei6_JIMU_NO">DATA!$F$369</definedName>
    <definedName name="cst_wskakunin_sekkei6_JIMU_SIKAKU">DATA!$F$367</definedName>
    <definedName name="cst_wskakunin_sekkei6_JIMU_TOUROKU_KIKAN">DATA!$F$368</definedName>
    <definedName name="cst_wskakunin_sekkei6_jimuname_name">DATA!$F$371</definedName>
    <definedName name="cst_wskakunin_sekkei6_KENTIKUSI_NO">DATA!$F$364</definedName>
    <definedName name="cst_wskakunin_sekkei6_NAME">DATA!$F$365</definedName>
    <definedName name="cst_wskakunin_sekkei6_SIKAKU">DATA!$F$362</definedName>
    <definedName name="cst_wskakunin_sekkei6_TEL">DATA!$F$374</definedName>
    <definedName name="cst_wskakunin_sekkei6_TOUROKU_KIKAN">DATA!$F$363</definedName>
    <definedName name="cst_wskakunin_sekkei6_ZIP">DATA!$F$372</definedName>
    <definedName name="cst_wskakunin_sekkei7__address">DATA!$F$390</definedName>
    <definedName name="cst_wskakunin_sekkei7__sikaku">DATA!$F$378</definedName>
    <definedName name="cst_wskakunin_sekkei7_DOC">DATA!$F$392</definedName>
    <definedName name="cst_wskakunin_sekkei7_JIMU__sikaku">DATA!$F$383</definedName>
    <definedName name="cst_wskakunin_sekkei7_JIMU_NAME">DATA!$F$387</definedName>
    <definedName name="cst_wskakunin_sekkei7_JIMU_NO">DATA!$F$386</definedName>
    <definedName name="cst_wskakunin_sekkei7_JIMU_SIKAKU">DATA!$F$384</definedName>
    <definedName name="cst_wskakunin_sekkei7_JIMU_TOUROKU_KIKAN">DATA!$F$385</definedName>
    <definedName name="cst_wskakunin_sekkei7_jimuname_name">DATA!$F$388</definedName>
    <definedName name="cst_wskakunin_sekkei7_KENTIKUSI_NO">DATA!$F$381</definedName>
    <definedName name="cst_wskakunin_sekkei7_NAME">DATA!$F$382</definedName>
    <definedName name="cst_wskakunin_sekkei7_SIKAKU">DATA!$F$379</definedName>
    <definedName name="cst_wskakunin_sekkei7_TEL">DATA!$F$391</definedName>
    <definedName name="cst_wskakunin_sekkei7_TOUROKU_KIKAN">DATA!$F$380</definedName>
    <definedName name="cst_wskakunin_sekkei7_ZIP">DATA!$F$389</definedName>
    <definedName name="cst_wskakunin_sekkei8__address">DATA!$F$407</definedName>
    <definedName name="cst_wskakunin_sekkei8__sikaku">DATA!$F$395</definedName>
    <definedName name="cst_wskakunin_sekkei8_DOC">DATA!$F$409</definedName>
    <definedName name="cst_wskakunin_sekkei8_JIMU__sikaku">DATA!$F$400</definedName>
    <definedName name="cst_wskakunin_sekkei8_JIMU_NAME">DATA!$F$404</definedName>
    <definedName name="cst_wskakunin_sekkei8_JIMU_NO">DATA!$F$403</definedName>
    <definedName name="cst_wskakunin_sekkei8_JIMU_SIKAKU">DATA!$F$401</definedName>
    <definedName name="cst_wskakunin_sekkei8_JIMU_TOUROKU_KIKAN">DATA!$F$402</definedName>
    <definedName name="cst_wskakunin_sekkei8_jimuname_name">DATA!$F$405</definedName>
    <definedName name="cst_wskakunin_sekkei8_KENTIKUSI_NO">DATA!$F$398</definedName>
    <definedName name="cst_wskakunin_sekkei8_NAME">DATA!$F$399</definedName>
    <definedName name="cst_wskakunin_sekkei8_SIKAKU">DATA!$F$396</definedName>
    <definedName name="cst_wskakunin_sekkei8_TEL">DATA!$F$408</definedName>
    <definedName name="cst_wskakunin_sekkei8_TOUROKU_KIKAN">DATA!$F$397</definedName>
    <definedName name="cst_wskakunin_sekkei8_ZIP">DATA!$F$406</definedName>
    <definedName name="cst_wskakunin_sekkei9__address">DATA!$F$424</definedName>
    <definedName name="cst_wskakunin_sekkei9__sikaku">DATA!$F$412</definedName>
    <definedName name="cst_wskakunin_sekkei9_DOC">DATA!$F$426</definedName>
    <definedName name="cst_wskakunin_sekkei9_JIMU__sikaku">DATA!$F$417</definedName>
    <definedName name="cst_wskakunin_sekkei9_JIMU_NAME">DATA!$F$421</definedName>
    <definedName name="cst_wskakunin_sekkei9_JIMU_NO">DATA!$F$420</definedName>
    <definedName name="cst_wskakunin_sekkei9_JIMU_SIKAKU">DATA!$F$418</definedName>
    <definedName name="cst_wskakunin_sekkei9_JIMU_TOUROKU_KIKAN">DATA!$F$419</definedName>
    <definedName name="cst_wskakunin_sekkei9_jimuname_name">DATA!$F$422</definedName>
    <definedName name="cst_wskakunin_sekkei9_KENTIKUSI_NO">DATA!$F$415</definedName>
    <definedName name="cst_wskakunin_sekkei9_NAME">DATA!$F$416</definedName>
    <definedName name="cst_wskakunin_sekkei9_SIKAKU">DATA!$F$413</definedName>
    <definedName name="cst_wskakunin_sekkei9_TEL">DATA!$F$425</definedName>
    <definedName name="cst_wskakunin_sekkei9_TOUROKU_KIKAN">DATA!$F$414</definedName>
    <definedName name="cst_wskakunin_sekkei9_ZIP">DATA!$F$423</definedName>
    <definedName name="cst_wskakunin_sekou1__address">DATA!$F$773</definedName>
    <definedName name="cst_wskakunin_sekou1__hajime">DATA!$F$827</definedName>
    <definedName name="cst_wskakunin_sekou1__kistar">DATA!$F$828</definedName>
    <definedName name="cst_wskakunin_sekou1_JIMU_NAME">DATA!$F$771</definedName>
    <definedName name="cst_wskakunin_sekou1_kakunin">DATA!$F$775</definedName>
    <definedName name="cst_wskakunin_sekou1_NAME">DATA!$F$767</definedName>
    <definedName name="cst_wskakunin_sekou1_SEKOU__sikaku">DATA!$F$768</definedName>
    <definedName name="cst_wskakunin_sekou1_SEKOU_NO">DATA!$F$770</definedName>
    <definedName name="cst_wskakunin_sekou1_SEKOU_SIKAKU">DATA!$F$769</definedName>
    <definedName name="cst_wskakunin_sekou1_TEL">DATA!$F$774</definedName>
    <definedName name="cst_wskakunin_sekou1_ZIP">DATA!$F$772</definedName>
    <definedName name="cst_wskakunin_sekou2__address">DATA!$F$783</definedName>
    <definedName name="cst_wskakunin_sekou2_JIMU_NAME">DATA!$F$781</definedName>
    <definedName name="cst_wskakunin_sekou2_NAME">DATA!$F$777</definedName>
    <definedName name="cst_wskakunin_sekou2_SEKOU__sikaku">DATA!$F$778</definedName>
    <definedName name="cst_wskakunin_sekou2_SEKOU_NO">DATA!$F$780</definedName>
    <definedName name="cst_wskakunin_sekou2_SEKOU_SIKAKU">DATA!$F$779</definedName>
    <definedName name="cst_wskakunin_sekou2_TEL">DATA!$F$784</definedName>
    <definedName name="cst_wskakunin_sekou2_ZIP">DATA!$F$782</definedName>
    <definedName name="cst_wskakunin_sekou3__address">DATA!$F$793</definedName>
    <definedName name="cst_wskakunin_sekou3_JIMU_NAME">DATA!$F$791</definedName>
    <definedName name="cst_wskakunin_sekou3_NAME">DATA!$F$787</definedName>
    <definedName name="cst_wskakunin_sekou3_SEKOU__sikaku">DATA!$F$788</definedName>
    <definedName name="cst_wskakunin_sekou3_SEKOU_NO">DATA!$F$790</definedName>
    <definedName name="cst_wskakunin_sekou3_SEKOU_SIKAKU">DATA!$F$789</definedName>
    <definedName name="cst_wskakunin_sekou3_TEL">DATA!$F$794</definedName>
    <definedName name="cst_wskakunin_sekou3_ZIP">DATA!$F$792</definedName>
    <definedName name="cst_wskakunin_sekou4__address">DATA!$F$803</definedName>
    <definedName name="cst_wskakunin_sekou4_JIMU_NAME">DATA!$F$801</definedName>
    <definedName name="cst_wskakunin_sekou4_NAME">DATA!$F$797</definedName>
    <definedName name="cst_wskakunin_sekou4_SEKOU__sikaku">DATA!$F$798</definedName>
    <definedName name="cst_wskakunin_sekou4_SEKOU_NO">DATA!$F$800</definedName>
    <definedName name="cst_wskakunin_sekou4_SEKOU_SIKAKU">DATA!$F$799</definedName>
    <definedName name="cst_wskakunin_sekou4_TEL">DATA!$F$804</definedName>
    <definedName name="cst_wskakunin_sekou4_ZIP">DATA!$F$802</definedName>
    <definedName name="cst_wskakunin_sekou5__address">DATA!$F$813</definedName>
    <definedName name="cst_wskakunin_sekou5_JIMU_NAME">DATA!$F$811</definedName>
    <definedName name="cst_wskakunin_sekou5_NAME">DATA!$F$807</definedName>
    <definedName name="cst_wskakunin_sekou5_SEKOU__sikaku">DATA!$F$808</definedName>
    <definedName name="cst_wskakunin_sekou5_SEKOU_NO">DATA!$F$810</definedName>
    <definedName name="cst_wskakunin_sekou5_SEKOU_SIKAKU">DATA!$F$809</definedName>
    <definedName name="cst_wskakunin_sekou5_TEL">DATA!$F$814</definedName>
    <definedName name="cst_wskakunin_sekou5_ZIP">DATA!$F$812</definedName>
    <definedName name="cst_wskakunin_sekou6__address">DATA!$F$823</definedName>
    <definedName name="cst_wskakunin_sekou6_JIMU_NAME">DATA!$F$821</definedName>
    <definedName name="cst_wskakunin_sekou6_NAME">DATA!$F$817</definedName>
    <definedName name="cst_wskakunin_sekou6_SEKOU__sikaku">DATA!$F$818</definedName>
    <definedName name="cst_wskakunin_sekou6_SEKOU_NO">DATA!$F$820</definedName>
    <definedName name="cst_wskakunin_sekou6_SEKOU_SIKAKU">DATA!$F$819</definedName>
    <definedName name="cst_wskakunin_sekou6_TEL">DATA!$F$824</definedName>
    <definedName name="cst_wskakunin_sekou6_ZIP">DATA!$F$822</definedName>
    <definedName name="cst_wskakunin_SHIKITI_MENSEKI_1_TOTAL">DATA!$F$957</definedName>
    <definedName name="cst_wskakunin_SHIKITI_MENSEKI_1A">DATA!$F$933</definedName>
    <definedName name="cst_wskakunin_SHIKITI_MENSEKI_1B">DATA!$F$934</definedName>
    <definedName name="cst_wskakunin_SHIKITI_MENSEKI_1C">DATA!$F$935</definedName>
    <definedName name="cst_wskakunin_SHIKITI_MENSEKI_1D">DATA!$F$936</definedName>
    <definedName name="cst_wskakunin_SHIKITI_MENSEKI_2_TOTAL">DATA!$F$958</definedName>
    <definedName name="cst_wskakunin_SHIKITI_MENSEKI_2A">DATA!$F$937</definedName>
    <definedName name="cst_wskakunin_SHIKITI_MENSEKI_2B">DATA!$F$938</definedName>
    <definedName name="cst_wskakunin_SHIKITI_MENSEKI_2C">DATA!$F$939</definedName>
    <definedName name="cst_wskakunin_SHIKITI_MENSEKI_2D">DATA!$F$940</definedName>
    <definedName name="cst_wskakunin_SHIKITI_MENSEKI_BIKOU">DATA!$F$961</definedName>
    <definedName name="cst_wskakunin_SHINSEI_DATE">DATA!$F$53</definedName>
    <definedName name="cst_wskakunin_TAKASA_MAX_SHINSEI">DATA!$F$1088</definedName>
    <definedName name="cst_wskakunin_TAKASA_MAX_SONOTA">DATA!$F$1089</definedName>
    <definedName name="cst_wskakunin_tekihan01_TEKIHAN_KIKAN_ADDRESS">DATA!$F$842</definedName>
    <definedName name="cst_wskakunin_tekihan01_TEKIHAN_KIKAN_info">DATA!$F$843</definedName>
    <definedName name="cst_wskakunin_tekihan01_TEKIHAN_KIKAN_KEN__ken">DATA!$F$841</definedName>
    <definedName name="cst_wskakunin_tekihan01_TEKIHAN_KIKAN_NAME">DATA!$F$840</definedName>
    <definedName name="cst_wskakunin_tekihan01_TEKIHAN_STATE_mishinsei">DATA!$F$838</definedName>
    <definedName name="cst_wskakunin_tekihan01_TEKIHAN_STATE_shinsei">DATA!$F$837</definedName>
    <definedName name="cst_wskakunin_tekihan01_TEKIHAN_STATE_shinseifuyou">DATA!$F$839</definedName>
    <definedName name="cst_wskakunin_tekihan02_TEKIHAN_KIKAN_ADDRESS">DATA!$F$846</definedName>
    <definedName name="cst_wskakunin_tekihan02_TEKIHAN_KIKAN_info">DATA!$F$847</definedName>
    <definedName name="cst_wskakunin_tekihan02_TEKIHAN_KIKAN_KEN__ken">DATA!$F$845</definedName>
    <definedName name="cst_wskakunin_tekihan02_TEKIHAN_KIKAN_NAME">DATA!$F$844</definedName>
    <definedName name="cst_wskakunin_TOKUREI_TAKASA">DATA!$F$1103</definedName>
    <definedName name="cst_wskakunin_TOKUREI_TAKASA_box_off">DATA!$F$1105</definedName>
    <definedName name="cst_wskakunin_TOKUREI_TAKASA_box_on">DATA!$F$1104</definedName>
    <definedName name="cst_wskakunin_TOKUREI_TAKASA_DOURO">DATA!$F$1108</definedName>
    <definedName name="cst_wskakunin_TOKUREI_TAKASA_KITA">DATA!$F$1110</definedName>
    <definedName name="cst_wskakunin_TOKUREI_TAKASA_RINTI">DATA!$F$1109</definedName>
    <definedName name="cst_wskakunin_TOKUREI_txt">DATA!$F$1181</definedName>
    <definedName name="cst_wskakunin_TOKUTEI_KOUJI_KANRYOU_DATE_select">DATA!$F$1197</definedName>
    <definedName name="cst_wskakunin_TOKUTEI_KOUTEI">DATA!$F$1194</definedName>
    <definedName name="cst_wskakunin_TOKUTEI_KOUTEI_inter1">DATA!$F$1195</definedName>
    <definedName name="cst_wskakunin_TOKUTEI_KOUTEI_inter2">DATA!$F$1196</definedName>
    <definedName name="cst_wskakunin_wskakunin_SONOTA_KUIKI">DATA!$F$925</definedName>
    <definedName name="cst_wskakunin_YOUSEKI_RITU">DATA!$F$1080</definedName>
    <definedName name="cst_wskakunin_YOUSEKI_RITU_A">DATA!$F$947</definedName>
    <definedName name="cst_wskakunin_YOUSEKI_RITU_B">DATA!$F$948</definedName>
    <definedName name="cst_wskakunin_YOUSEKI_RITU_C">DATA!$F$949</definedName>
    <definedName name="cst_wskakunin_YOUSEKI_RITU_D">DATA!$F$950</definedName>
    <definedName name="cst_wskakunin_YOUTO">DATA!$F$964</definedName>
    <definedName name="cst_wskakunin_YOUTO_CODE">DATA!$F$963</definedName>
    <definedName name="cst_wskakunin_YOUTO_TIIKI_A">DATA!$F$942</definedName>
    <definedName name="cst_wskakunin_YOUTO_TIIKI_B">DATA!$F$943</definedName>
    <definedName name="cst_wskakunin_YOUTO_TIIKI_C">DATA!$F$944</definedName>
    <definedName name="cst_wskakunin_YOUTO_TIIKI_D">DATA!$F$945</definedName>
    <definedName name="_xlnm.Print_Area" localSheetId="21">委任状!$A:$X</definedName>
    <definedName name="_xlnm.Print_Area" localSheetId="32">確認申請取下届!$A:$X</definedName>
    <definedName name="_xlnm.Print_Area" localSheetId="33">確認申請取下届_一括!$A:$X</definedName>
    <definedName name="_xlnm.Print_Area" localSheetId="38">完了検査申請取下届!$A:$X</definedName>
    <definedName name="_xlnm.Print_Area" localSheetId="39">完了検査申請取下届_一括!$A:$X</definedName>
    <definedName name="_xlnm.Print_Area" localSheetId="30">完了検査申請書!$A:$X</definedName>
    <definedName name="_xlnm.Print_Area" localSheetId="25">既存不適格調書!$A:$X</definedName>
    <definedName name="_xlnm.Print_Area" localSheetId="27">既存不適格法チェックリスト!$A$1:$W$37</definedName>
    <definedName name="_xlnm.Print_Area" localSheetId="34">記載事項変更等届!$A:$X</definedName>
    <definedName name="_xlnm.Print_Area" localSheetId="35">記載事項変更等届_一括!$A:$X</definedName>
    <definedName name="_xlnm.Print_Area" localSheetId="29">検査予約票_一括!$A:$R</definedName>
    <definedName name="_xlnm.Print_Area" localSheetId="26">現況の調査書!$A:$X</definedName>
    <definedName name="_xlnm.Print_Area" localSheetId="19">現地調査票!$A$1:$AH$64</definedName>
    <definedName name="_xlnm.Print_Area" localSheetId="20">現地調査票_一括!$A$1:$AH$64</definedName>
    <definedName name="_xlnm.Print_Area" localSheetId="36">工事取りやめ届!$A:$X</definedName>
    <definedName name="_xlnm.Print_Area" localSheetId="37">工事取りやめ届_一括!$A:$X</definedName>
    <definedName name="_xlnm.Print_Area" localSheetId="22">工事届!$A$1:$X$270</definedName>
    <definedName name="_xlnm.Print_Area" localSheetId="23">工事届_一括!$A$1:$X$270</definedName>
    <definedName name="_xlnm.Print_Area" localSheetId="41">再交付申請書!$A:$X</definedName>
    <definedName name="_xlnm.Print_Area" localSheetId="18">事前協議!$A:$P</definedName>
    <definedName name="_xlnm.Print_Area" localSheetId="40">証明願!$A:$X</definedName>
    <definedName name="_xlnm.Print_Area" localSheetId="24">免除申請_確認・計変!$A:$X</definedName>
    <definedName name="_xlnm.Print_Area" localSheetId="31">免除申請_完了!$A:$X</definedName>
    <definedName name="_xlnm.Print_Area" localSheetId="16">郵送申請_確認申請・適合証明設計検査!$A:$Q</definedName>
    <definedName name="_xlnm.Print_Area" localSheetId="28">郵送申請_完了!$A:$P</definedName>
    <definedName name="_xlnm.Print_Area" localSheetId="17">郵送申請_計画変更!$A:$P</definedName>
    <definedName name="shinsei_build_p6_01_PAGE6_KOUZOU_KEISAN_KIND__002">DATA!$D$50</definedName>
    <definedName name="shinsei_build_p6_01_PAGE6_KOUZOU_KEISAN_KIND__004">DATA!$D$49</definedName>
    <definedName name="shinsei_build_p6_01_PAGE6_KOUZOU_KEISAN_KIND__005">DATA!$D$48</definedName>
    <definedName name="shinsei_build_YOUTO">DATA!$D$1326</definedName>
    <definedName name="shinsei_HIKIUKE_DATE">DATA!$D$38</definedName>
    <definedName name="shinsei_ISSUE_DATE">DATA!$D$43</definedName>
    <definedName name="shinsei_ISSUE_KOUFU_NAME">DATA!$D$45</definedName>
    <definedName name="shinsei_ISSUE_NO">DATA!$D$40</definedName>
    <definedName name="shinsei_KAKU_SUMI_NO">DATA!$D$41</definedName>
    <definedName name="shinsei_PROVO_DATE">DATA!$D$32</definedName>
    <definedName name="shinsei_PROVO_NO">DATA!$D$33</definedName>
    <definedName name="shinsei_UKETUKE_NO">DATA!$D$36</definedName>
    <definedName name="shinsei_UNIT_COUNT">DATA!$D$965</definedName>
    <definedName name="showsheetflag_cst_DATA">dSHEET!$B$8</definedName>
    <definedName name="showsheetflag_dAName">dSHEET!$B$7</definedName>
    <definedName name="showsheetflag_DATA">dSHEET!$B$6</definedName>
    <definedName name="showsheetflag_dSHEET">dSHEET!$B$5</definedName>
    <definedName name="showsheetflag_dSTART">dSHEET!$B$4</definedName>
    <definedName name="showsheetflag_NoObject">dSHEET!$B$50</definedName>
    <definedName name="showsheetflag_リスト">dSHEET!$B$10</definedName>
    <definedName name="showsheetflag_リスト_2">dSHEET!$B$19</definedName>
    <definedName name="showsheetflag_リスト_2_一括">dSHEET!$B$20</definedName>
    <definedName name="showsheetflag_委任状">dSHEET!$B$27</definedName>
    <definedName name="showsheetflag_確認申請取下届">dSHEET!$B$39</definedName>
    <definedName name="showsheetflag_確認申請取下届_一括">dSHEET!$B$40</definedName>
    <definedName name="showsheetflag_完了検査申請取下届">dSHEET!$B$45</definedName>
    <definedName name="showsheetflag_完了検査申請取下届_一括">dSHEET!$B$46</definedName>
    <definedName name="showsheetflag_完了検査申請書">dSHEET!$B$37</definedName>
    <definedName name="showsheetflag_既存不適格調書">dSHEET!$B$31</definedName>
    <definedName name="showsheetflag_既存不適格法チェックリスト">dSHEET!$B$33</definedName>
    <definedName name="showsheetflag_記載事項変更等届">dSHEET!$B$41</definedName>
    <definedName name="showsheetflag_記載事項変更等届_一括">dSHEET!$B$42</definedName>
    <definedName name="showsheetflag_検査予約票">dSHEET!$B$35</definedName>
    <definedName name="showsheetflag_検査予約票_一括">dSHEET!$B$36</definedName>
    <definedName name="showsheetflag_現況の調査書">dSHEET!$B$32</definedName>
    <definedName name="showsheetflag_現地調査票">dSHEET!$B$25</definedName>
    <definedName name="showsheetflag_現地調査票_一括">dSHEET!$B$26</definedName>
    <definedName name="showsheetflag_工事取りやめ届">dSHEET!$B$43</definedName>
    <definedName name="showsheetflag_工事取りやめ届_一括">dSHEET!$B$44</definedName>
    <definedName name="showsheetflag_工事届">dSHEET!$B$28</definedName>
    <definedName name="showsheetflag_工事届_一括">dSHEET!$B$29</definedName>
    <definedName name="showsheetflag_項目リスト">dSHEET!$B$9</definedName>
    <definedName name="showsheetflag_再交付申請書">dSHEET!$B$48</definedName>
    <definedName name="showsheetflag_事前協議">dSHEET!$B$24</definedName>
    <definedName name="showsheetflag_証明願">dSHEET!$B$47</definedName>
    <definedName name="showsheetflag_提出書類一覧">dSHEET!$B$21</definedName>
    <definedName name="showsheetflag_入力のルール">dSHEET!$B$16</definedName>
    <definedName name="showsheetflag_入力のルール_一括">dSHEET!$B$17</definedName>
    <definedName name="showsheetflag_免除申請_確認・計変">dSHEET!$B$30</definedName>
    <definedName name="showsheetflag_免除申請_完了">dSHEET!$B$38</definedName>
    <definedName name="showsheetflag_目次・入力シート">dSHEET!$B$18</definedName>
    <definedName name="showsheetflag_郵送申請_確認申請・適合証明設計検査">dSHEET!$B$22</definedName>
    <definedName name="showsheetflag_郵送申請_完了">dSHEET!$B$34</definedName>
    <definedName name="showsheetflag_郵送申請_計画変更">dSHEET!$B$23</definedName>
    <definedName name="showsheetflag_用途の区分">dSHEET!$B$11</definedName>
    <definedName name="wsjob_JOB_INPUT_VERSION">DATA!$D$21</definedName>
    <definedName name="wsjob_JOB_KIND">DATA!$D$17</definedName>
    <definedName name="wsjob_JOB_SET_KIND">DATA!$D$12</definedName>
    <definedName name="wsjob_TARGET_KIND">DATA!$D$13</definedName>
    <definedName name="wsjob_TARGET_KIND__label">DATA!$D$11</definedName>
    <definedName name="wskakunin__bouka">DATA!$D$919</definedName>
    <definedName name="wskakunin__kouji">DATA!$D$967</definedName>
    <definedName name="wskakunin__kuiki">DATA!$D$910</definedName>
    <definedName name="wskakunin__tosi_kuiki">DATA!$D$913</definedName>
    <definedName name="wskakunin_20kouzou101_KOUZOUSEKKEI_KOUFU_NO">DATA!$D$482</definedName>
    <definedName name="wskakunin_20kouzou101_NAME">DATA!$D$481</definedName>
    <definedName name="wskakunin_20kouzou102_KOUZOUSEKKEI_KOUFU_NO">DATA!$D$484</definedName>
    <definedName name="wskakunin_20kouzou102_NAME">DATA!$D$483</definedName>
    <definedName name="wskakunin_20kouzou103_KOUZOUSEKKEI_KOUFU_NO">DATA!$D$486</definedName>
    <definedName name="wskakunin_20kouzou103_NAME">DATA!$D$485</definedName>
    <definedName name="wskakunin_20kouzou104_KOUZOUSEKKEI_KOUFU_NO">DATA!$D$488</definedName>
    <definedName name="wskakunin_20kouzou104_NAME">DATA!$D$487</definedName>
    <definedName name="wskakunin_20kouzou105_KOUZOUSEKKEI_KOUFU_NO">DATA!$D$490</definedName>
    <definedName name="wskakunin_20kouzou105_NAME">DATA!$D$489</definedName>
    <definedName name="wskakunin_20kouzou301_KOUZOUSEKKEI_KOUFU_NO">DATA!$D$494</definedName>
    <definedName name="wskakunin_20kouzou301_NAME">DATA!$D$493</definedName>
    <definedName name="wskakunin_20kouzou302_KOUZOUSEKKEI_KOUFU_NO">DATA!$D$496</definedName>
    <definedName name="wskakunin_20kouzou302_NAME">DATA!$D$495</definedName>
    <definedName name="wskakunin_20kouzou303_KOUZOUSEKKEI_KOUFU_NO">DATA!$D$498</definedName>
    <definedName name="wskakunin_20kouzou303_NAME">DATA!$D$497</definedName>
    <definedName name="wskakunin_20kouzou304_KOUZOUSEKKEI_KOUFU_NO">DATA!$D$500</definedName>
    <definedName name="wskakunin_20kouzou304_NAME">DATA!$D$499</definedName>
    <definedName name="wskakunin_20kouzou305_KOUZOUSEKKEI_KOUFU_NO">DATA!$D$502</definedName>
    <definedName name="wskakunin_20kouzou305_NAME">DATA!$D$501</definedName>
    <definedName name="wskakunin_20setubi101_NAME">DATA!$D$505</definedName>
    <definedName name="wskakunin_20setubi101_SETUBISEKKEI_KOUFU_NO">DATA!$D$506</definedName>
    <definedName name="wskakunin_20setubi102_NAME">DATA!$D$507</definedName>
    <definedName name="wskakunin_20setubi102_SETUBISEKKEI_KOUFU_NO">DATA!$D$508</definedName>
    <definedName name="wskakunin_20setubi103_NAME">DATA!$D$509</definedName>
    <definedName name="wskakunin_20setubi103_SETUBISEKKEI_KOUFU_NO">DATA!$D$510</definedName>
    <definedName name="wskakunin_20setubi104_NAME">DATA!$D$511</definedName>
    <definedName name="wskakunin_20setubi104_SETUBISEKKEI_KOUFU_NO">DATA!$D$512</definedName>
    <definedName name="wskakunin_20setubi105_NAME">DATA!$D$513</definedName>
    <definedName name="wskakunin_20setubi105_SETUBISEKKEI_KOUFU_NO">DATA!$D$514</definedName>
    <definedName name="wskakunin_20setubi301_NAME">DATA!$D$517</definedName>
    <definedName name="wskakunin_20setubi301_SETUBISEKKEI_KOUFU_NO">DATA!$D$518</definedName>
    <definedName name="wskakunin_20setubi302_NAME">DATA!$D$519</definedName>
    <definedName name="wskakunin_20setubi302_SETUBISEKKEI_KOUFU_NO">DATA!$D$520</definedName>
    <definedName name="wskakunin_20setubi303_NAME">DATA!$D$521</definedName>
    <definedName name="wskakunin_20setubi303_SETUBISEKKEI_KOUFU_NO">DATA!$D$522</definedName>
    <definedName name="wskakunin_20setubi304_NAME">DATA!$D$523</definedName>
    <definedName name="wskakunin_20setubi304_SETUBISEKKEI_KOUFU_NO">DATA!$D$524</definedName>
    <definedName name="wskakunin_20setubi305_NAME">DATA!$D$525</definedName>
    <definedName name="wskakunin_20setubi305_SETUBISEKKEI_KOUFU_NO">DATA!$D$526</definedName>
    <definedName name="wskakunin_APPLICANT_NAME">DATA!$D$68</definedName>
    <definedName name="wskakunin_BOUKA_22JYO">DATA!$D$923</definedName>
    <definedName name="wskakunin_BOUKA_BOUKA">DATA!$D$920</definedName>
    <definedName name="wskakunin_BOUKA_JYUN_BOUKA">DATA!$D$921</definedName>
    <definedName name="wskakunin_BOUKA_NASI">DATA!$D$922</definedName>
    <definedName name="wskakunin_BOUKA_SETUBI_FLAG">DATA!$D$1168</definedName>
    <definedName name="wskakunin_BUILD__address">DATA!$D$899</definedName>
    <definedName name="wskakunin_BUILD_ADDRESS">DATA!$D$901</definedName>
    <definedName name="wskakunin_BUILD_JYUKYO__address">DATA!$D$904</definedName>
    <definedName name="wskakunin_BUILD_JYUKYO_ADDRESS">DATA!$D$906</definedName>
    <definedName name="wskakunin_BUILD_JYUKYO_KEN__ken">DATA!$D$905</definedName>
    <definedName name="wskakunin_BUILD_KEN__ken">DATA!$D$900</definedName>
    <definedName name="wskakunin_BUILD_NAME">DATA!$D$830</definedName>
    <definedName name="wskakunin_BUILD_NAME_KANA">DATA!$D$831</definedName>
    <definedName name="wskakunin_BUILD_SHINSEI_COUNT">DATA!$D$1083</definedName>
    <definedName name="wskakunin_BUILD_SONOTA_COUNT">DATA!$D$1084</definedName>
    <definedName name="wskakunin_dairi1__address">DATA!$D$198</definedName>
    <definedName name="wskakunin_dairi1__sikaku">DATA!$D$186</definedName>
    <definedName name="wskakunin_dairi1_FAX">DATA!$D$200</definedName>
    <definedName name="wskakunin_dairi1_JIMU__sikaku">DATA!$D$192</definedName>
    <definedName name="wskakunin_dairi1_JIMU_NAME">DATA!$D$196</definedName>
    <definedName name="wskakunin_dairi1_JIMU_NO">DATA!$D$195</definedName>
    <definedName name="wskakunin_dairi1_JIMU_SIKAKU__label">DATA!$D$193</definedName>
    <definedName name="wskakunin_dairi1_JIMU_TOUROKU_KIKAN__label">DATA!$D$194</definedName>
    <definedName name="wskakunin_dairi1_KENTIKUSI_NO">DATA!$D$189</definedName>
    <definedName name="wskakunin_dairi1_NAME">DATA!$D$190</definedName>
    <definedName name="wskakunin_dairi1_NAME_KANA">DATA!$D$191</definedName>
    <definedName name="wskakunin_dairi1_SIKAKU__label">DATA!$D$187</definedName>
    <definedName name="wskakunin_dairi1_TEL">DATA!$D$199</definedName>
    <definedName name="wskakunin_dairi1_TOUROKU_KIKAN__label">DATA!$D$188</definedName>
    <definedName name="wskakunin_dairi1_ZIP">DATA!$D$197</definedName>
    <definedName name="wskakunin_dairi2__address">DATA!$D$216</definedName>
    <definedName name="wskakunin_dairi2__sikaku">DATA!$D$204</definedName>
    <definedName name="wskakunin_dairi2_FAX">DATA!$D$218</definedName>
    <definedName name="wskakunin_dairi2_JIMU__sikaku">DATA!$D$210</definedName>
    <definedName name="wskakunin_dairi2_JIMU_NAME">DATA!$D$214</definedName>
    <definedName name="wskakunin_dairi2_JIMU_NO">DATA!$D$213</definedName>
    <definedName name="wskakunin_dairi2_JIMU_SIKAKU__label">DATA!$D$211</definedName>
    <definedName name="wskakunin_dairi2_JIMU_TOUROKU_KIKAN__label">DATA!$D$212</definedName>
    <definedName name="wskakunin_dairi2_KENTIKUSI_NO">DATA!$D$207</definedName>
    <definedName name="wskakunin_dairi2_NAME">DATA!$D$208</definedName>
    <definedName name="wskakunin_dairi2_NAME_KANA">DATA!$D$209</definedName>
    <definedName name="wskakunin_dairi2_SIKAKU__label">DATA!$D$205</definedName>
    <definedName name="wskakunin_dairi2_TEL">DATA!$D$217</definedName>
    <definedName name="wskakunin_dairi2_TOUROKU_KIKAN__label">DATA!$D$206</definedName>
    <definedName name="wskakunin_dairi2_ZIP">DATA!$D$215</definedName>
    <definedName name="wskakunin_dairi3__address">DATA!$D$234</definedName>
    <definedName name="wskakunin_dairi3__sikaku">DATA!$D$222</definedName>
    <definedName name="wskakunin_dairi3_FAX">DATA!$D$236</definedName>
    <definedName name="wskakunin_dairi3_JIMU__sikaku">DATA!$D$228</definedName>
    <definedName name="wskakunin_dairi3_JIMU_NAME">DATA!$D$232</definedName>
    <definedName name="wskakunin_dairi3_JIMU_NO">DATA!$D$231</definedName>
    <definedName name="wskakunin_dairi3_JIMU_SIKAKU__label">DATA!$D$229</definedName>
    <definedName name="wskakunin_dairi3_JIMU_TOUROKU_KIKAN__label">DATA!$D$230</definedName>
    <definedName name="wskakunin_dairi3_KENTIKUSI_NO">DATA!$D$225</definedName>
    <definedName name="wskakunin_dairi3_NAME">DATA!$D$226</definedName>
    <definedName name="wskakunin_dairi3_NAME_KANA">DATA!$D$227</definedName>
    <definedName name="wskakunin_dairi3_SIKAKU__label">DATA!$D$223</definedName>
    <definedName name="wskakunin_dairi3_TEL">DATA!$D$235</definedName>
    <definedName name="wskakunin_dairi3_TOUROKU_KIKAN__label">DATA!$D$224</definedName>
    <definedName name="wskakunin_dairi3_ZIP">DATA!$D$233</definedName>
    <definedName name="wskakunin_dairi4__address">DATA!$D$252</definedName>
    <definedName name="wskakunin_dairi4__sikaku">DATA!$D$240</definedName>
    <definedName name="wskakunin_dairi4_FAX">DATA!$D$254</definedName>
    <definedName name="wskakunin_dairi4_JIMU__sikaku">DATA!$D$246</definedName>
    <definedName name="wskakunin_dairi4_JIMU_NAME">DATA!$D$250</definedName>
    <definedName name="wskakunin_dairi4_JIMU_NO">DATA!$D$249</definedName>
    <definedName name="wskakunin_dairi4_JIMU_SIKAKU__label">DATA!$D$247</definedName>
    <definedName name="wskakunin_dairi4_JIMU_TOUROKU_KIKAN__label">DATA!$D$248</definedName>
    <definedName name="wskakunin_dairi4_KENTIKUSI_NO">DATA!$D$243</definedName>
    <definedName name="wskakunin_dairi4_NAME">DATA!$D$244</definedName>
    <definedName name="wskakunin_dairi4_NAME_KANA">DATA!$D$245</definedName>
    <definedName name="wskakunin_dairi4_SIKAKU__label">DATA!$D$241</definedName>
    <definedName name="wskakunin_dairi4_TEL">DATA!$D$253</definedName>
    <definedName name="wskakunin_dairi4_TOUROKU_KIKAN__label">DATA!$D$242</definedName>
    <definedName name="wskakunin_dairi4_ZIP">DATA!$D$251</definedName>
    <definedName name="wskakunin_dairi5__address">DATA!$D$270</definedName>
    <definedName name="wskakunin_dairi5__sikaku">DATA!$D$258</definedName>
    <definedName name="wskakunin_dairi5_FAX">DATA!$D$272</definedName>
    <definedName name="wskakunin_dairi5_JIMU__sikaku">DATA!$D$264</definedName>
    <definedName name="wskakunin_dairi5_JIMU_NAME">DATA!$D$268</definedName>
    <definedName name="wskakunin_dairi5_JIMU_NO">DATA!$D$267</definedName>
    <definedName name="wskakunin_dairi5_JIMU_SIKAKU__label">DATA!$D$265</definedName>
    <definedName name="wskakunin_dairi5_JIMU_TOUROKU_KIKAN__label">DATA!$D$266</definedName>
    <definedName name="wskakunin_dairi5_KENTIKUSI_NO">DATA!$D$261</definedName>
    <definedName name="wskakunin_dairi5_NAME">DATA!$D$262</definedName>
    <definedName name="wskakunin_dairi5_NAME_KANA">DATA!$D$263</definedName>
    <definedName name="wskakunin_dairi5_SIKAKU__label">DATA!$D$259</definedName>
    <definedName name="wskakunin_dairi5_TEL">DATA!$D$271</definedName>
    <definedName name="wskakunin_dairi5_TOUROKU_KIKAN__label">DATA!$D$260</definedName>
    <definedName name="wskakunin_dairi5_ZIP">DATA!$D$269</definedName>
    <definedName name="wskakunin_DOURO_FUKUIN">DATA!$D$928</definedName>
    <definedName name="wskakunin_DOURO_NAGASA">DATA!$D$929</definedName>
    <definedName name="wskakunin_ecotekihan01_FUYOU_CAUSE">DATA!$D$860</definedName>
    <definedName name="wskakunin_ecotekihan01_TEKIHAN_KIKAN_ADDRESS">DATA!$D$856</definedName>
    <definedName name="wskakunin_ecotekihan01_TEKIHAN_KIKAN_KEN__ken">DATA!$D$855</definedName>
    <definedName name="wskakunin_ecotekihan01_TEKIHAN_KIKAN_NAME">DATA!$D$854</definedName>
    <definedName name="wskakunin_ecotekihan01_TEKIHAN_STATE">DATA!$D$850</definedName>
    <definedName name="wskakunin_gaiyou1_EV_KIND">DATA!$D$997</definedName>
    <definedName name="wskakunin_gaiyou1_KOUJI_KAITIKU">DATA!$D$984</definedName>
    <definedName name="wskakunin_gaiyou1_KOUJI_SINTIKU">DATA!$D$982</definedName>
    <definedName name="wskakunin_gaiyou1_KOUJI_SONOTA">DATA!$D$985</definedName>
    <definedName name="wskakunin_gaiyou1_KOUJI_SONOTA_TEXT">DATA!$D$986</definedName>
    <definedName name="wskakunin_gaiyou1_KOUJI_ZOUTIKU">DATA!$D$983</definedName>
    <definedName name="wskakunin_gaiyou1_KOUZOU">DATA!$D$981</definedName>
    <definedName name="wskakunin_gaiyou1_NINSYOU_NO">DATA!$D$1003</definedName>
    <definedName name="wskakunin_gaiyou1_NO">DATA!$D$996</definedName>
    <definedName name="wskakunin_gaiyou1_SEKISAI">DATA!$D$999</definedName>
    <definedName name="wskakunin_gaiyou1_SONOTA">DATA!$D$1002</definedName>
    <definedName name="wskakunin_gaiyou1_SONOTA_and_NINSYOU_NO">DATA!$D$1004</definedName>
    <definedName name="wskakunin_gaiyou1_SPEED">DATA!$D$1001</definedName>
    <definedName name="wskakunin_gaiyou1_TAKASA">DATA!$D$980</definedName>
    <definedName name="wskakunin_gaiyou1_TEIIN">DATA!$D$1000</definedName>
    <definedName name="wskakunin_gaiyou1_TIKUZOU_MENSEKI_IGAI">DATA!$D$989</definedName>
    <definedName name="wskakunin_gaiyou1_TIKUZOU_MENSEKI_SHINSEI">DATA!$D$988</definedName>
    <definedName name="wskakunin_gaiyou1_TIKUZOU_MENSEKI_TOTAL">DATA!$D$990</definedName>
    <definedName name="wskakunin_gaiyou1_WORK_COUNT_IGAI">DATA!$D$992</definedName>
    <definedName name="wskakunin_gaiyou1_WORK_COUNT_SHINSEI">DATA!$D$991</definedName>
    <definedName name="wskakunin_gaiyou1_WORK_COUNT_TOTAL">DATA!$D$993</definedName>
    <definedName name="wskakunin_gaiyou1_WORK_SYURUI">DATA!$D$979</definedName>
    <definedName name="wskakunin_gaiyou1_WORK_SYURUI_CODE">DATA!$D$978</definedName>
    <definedName name="wskakunin_gaiyou1_YOUTO">DATA!$D$998</definedName>
    <definedName name="wskakunin_iken1__address">DATA!$D$533</definedName>
    <definedName name="wskakunin_iken1_DOC">DATA!$D$536</definedName>
    <definedName name="wskakunin_iken1_IKEN_NO">DATA!$D$535</definedName>
    <definedName name="wskakunin_iken1_JIMU_NAME">DATA!$D$531</definedName>
    <definedName name="wskakunin_iken1_NAME">DATA!$D$530</definedName>
    <definedName name="wskakunin_iken1_TEL">DATA!$D$534</definedName>
    <definedName name="wskakunin_iken1_ZIP">DATA!$D$532</definedName>
    <definedName name="wskakunin_iken2__address">DATA!$D$542</definedName>
    <definedName name="wskakunin_iken2_DOC">DATA!$D$545</definedName>
    <definedName name="wskakunin_iken2_IKEN_NO">DATA!$D$544</definedName>
    <definedName name="wskakunin_iken2_JIMU_NAME">DATA!$D$540</definedName>
    <definedName name="wskakunin_iken2_NAME">DATA!$D$539</definedName>
    <definedName name="wskakunin_iken2_TEL">DATA!$D$543</definedName>
    <definedName name="wskakunin_iken2_ZIP">DATA!$D$541</definedName>
    <definedName name="wskakunin_iken3__address">DATA!$D$551</definedName>
    <definedName name="wskakunin_iken3_DOC">DATA!$D$554</definedName>
    <definedName name="wskakunin_iken3_IKEN_NO">DATA!$D$553</definedName>
    <definedName name="wskakunin_iken3_JIMU_NAME">DATA!$D$549</definedName>
    <definedName name="wskakunin_iken3_NAME">DATA!$D$548</definedName>
    <definedName name="wskakunin_iken3_TEL">DATA!$D$552</definedName>
    <definedName name="wskakunin_iken3_ZIP">DATA!$D$550</definedName>
    <definedName name="wskakunin_iken4__address">DATA!$D$560</definedName>
    <definedName name="wskakunin_iken4_DOC">DATA!$D$563</definedName>
    <definedName name="wskakunin_iken4_IKEN_NO">DATA!$D$562</definedName>
    <definedName name="wskakunin_iken4_JIMU_NAME">DATA!$D$558</definedName>
    <definedName name="wskakunin_iken4_NAME">DATA!$D$557</definedName>
    <definedName name="wskakunin_iken4_TEL">DATA!$D$561</definedName>
    <definedName name="wskakunin_iken4_ZIP">DATA!$D$559</definedName>
    <definedName name="wskakunin_iken5__address">DATA!$D$568</definedName>
    <definedName name="wskakunin_iken5_DOC">DATA!$D$571</definedName>
    <definedName name="wskakunin_iken5_IKEN_NO">DATA!$D$570</definedName>
    <definedName name="wskakunin_iken5_JIMU_NAME">DATA!$D$566</definedName>
    <definedName name="wskakunin_iken5_NAME">DATA!$D$565</definedName>
    <definedName name="wskakunin_iken5_TEL">DATA!$D$569</definedName>
    <definedName name="wskakunin_iken5_ZIP">DATA!$D$567</definedName>
    <definedName name="wskakunin_KAISU_TIJYOU_SHINSEI">DATA!$D$1091</definedName>
    <definedName name="wskakunin_KAISU_TIJYOU_SONOTA">DATA!$D$1092</definedName>
    <definedName name="wskakunin_KAISU_TIKA_SHINSEI__zero">DATA!$D$1094</definedName>
    <definedName name="wskakunin_KAISU_TIKA_SONOTA">DATA!$D$1095</definedName>
    <definedName name="wskakunin_kanri1__address">DATA!$D$586</definedName>
    <definedName name="wskakunin_kanri1__sikaku">DATA!$D$574</definedName>
    <definedName name="wskakunin_kanri1_DOC">DATA!$D$588</definedName>
    <definedName name="wskakunin_kanri1_JIMU__sikaku">DATA!$D$579</definedName>
    <definedName name="wskakunin_kanri1_JIMU_NAME">DATA!$D$583</definedName>
    <definedName name="wskakunin_kanri1_JIMU_NO">DATA!$D$582</definedName>
    <definedName name="wskakunin_kanri1_JIMU_SIKAKU__label">DATA!$D$580</definedName>
    <definedName name="wskakunin_kanri1_JIMU_TOUROKU_KIKAN__label">DATA!$D$581</definedName>
    <definedName name="wskakunin_kanri1_KENTIKUSI_NO">DATA!$D$577</definedName>
    <definedName name="wskakunin_kanri1_NAME">DATA!$D$578</definedName>
    <definedName name="wskakunin_kanri1_SIKAKU__label">DATA!$D$575</definedName>
    <definedName name="wskakunin_kanri1_TEL">DATA!$D$587</definedName>
    <definedName name="wskakunin_kanri1_TOUROKU_KIKAN__label">DATA!$D$576</definedName>
    <definedName name="wskakunin_kanri1_ZIP">DATA!$D$584</definedName>
    <definedName name="wskakunin_kanri10__address">DATA!$D$730</definedName>
    <definedName name="wskakunin_kanri10__sikaku">DATA!$D$719</definedName>
    <definedName name="wskakunin_kanri10_DOC">DATA!$D$732</definedName>
    <definedName name="wskakunin_kanri10_JIMU__sikaku">DATA!$D$724</definedName>
    <definedName name="wskakunin_kanri10_JIMU_NAME">DATA!$D$728</definedName>
    <definedName name="wskakunin_kanri10_JIMU_NO">DATA!$D$727</definedName>
    <definedName name="wskakunin_kanri10_JIMU_SIKAKU__label">DATA!$D$725</definedName>
    <definedName name="wskakunin_kanri10_JIMU_TOUROKU_KIKAN__label">DATA!$D$726</definedName>
    <definedName name="wskakunin_kanri10_KENTIKUSI_NO">DATA!$D$722</definedName>
    <definedName name="wskakunin_kanri10_NAME">DATA!$D$723</definedName>
    <definedName name="wskakunin_kanri10_SIKAKU__label">DATA!$D$720</definedName>
    <definedName name="wskakunin_kanri10_TEL">DATA!$D$731</definedName>
    <definedName name="wskakunin_kanri10_TOUROKU_KIKAN__label">DATA!$D$721</definedName>
    <definedName name="wskakunin_kanri10_ZIP">DATA!$D$729</definedName>
    <definedName name="wskakunin_kanri11__address">DATA!$D$746</definedName>
    <definedName name="wskakunin_kanri11__sikaku">DATA!$D$735</definedName>
    <definedName name="wskakunin_kanri11_DOC">DATA!$D$748</definedName>
    <definedName name="wskakunin_kanri11_JIMU__sikaku">DATA!$D$740</definedName>
    <definedName name="wskakunin_kanri11_JIMU_NAME">DATA!$D$744</definedName>
    <definedName name="wskakunin_kanri11_JIMU_NO">DATA!$D$743</definedName>
    <definedName name="wskakunin_kanri11_JIMU_SIKAKU__label">DATA!$D$741</definedName>
    <definedName name="wskakunin_kanri11_JIMU_TOUROKU_KIKAN__label">DATA!$D$742</definedName>
    <definedName name="wskakunin_kanri11_KENTIKUSI_NO">DATA!$D$738</definedName>
    <definedName name="wskakunin_kanri11_NAME">DATA!$D$739</definedName>
    <definedName name="wskakunin_kanri11_SIKAKU__label">DATA!$D$736</definedName>
    <definedName name="wskakunin_kanri11_TEL">DATA!$D$747</definedName>
    <definedName name="wskakunin_kanri11_TOUROKU_KIKAN__label">DATA!$D$737</definedName>
    <definedName name="wskakunin_kanri11_ZIP">DATA!$D$745</definedName>
    <definedName name="wskakunin_kanri12__address">DATA!$D$762</definedName>
    <definedName name="wskakunin_kanri12__sikaku">DATA!$D$751</definedName>
    <definedName name="wskakunin_kanri12_DOC">DATA!$D$764</definedName>
    <definedName name="wskakunin_kanri12_JIMU__sikaku">DATA!$D$756</definedName>
    <definedName name="wskakunin_kanri12_JIMU_NAME">DATA!$D$760</definedName>
    <definedName name="wskakunin_kanri12_JIMU_NO">DATA!$D$759</definedName>
    <definedName name="wskakunin_kanri12_JIMU_SIKAKU__label">DATA!$D$757</definedName>
    <definedName name="wskakunin_kanri12_JIMU_TOUROKU_KIKAN__label">DATA!$D$758</definedName>
    <definedName name="wskakunin_kanri12_KENTIKUSI_NO">DATA!$D$754</definedName>
    <definedName name="wskakunin_kanri12_NAME">DATA!$D$755</definedName>
    <definedName name="wskakunin_kanri12_SIKAKU__label">DATA!$D$752</definedName>
    <definedName name="wskakunin_kanri12_TEL">DATA!$D$763</definedName>
    <definedName name="wskakunin_kanri12_TOUROKU_KIKAN__label">DATA!$D$753</definedName>
    <definedName name="wskakunin_kanri12_ZIP">DATA!$D$761</definedName>
    <definedName name="wskakunin_kanri2__address">DATA!$D$602</definedName>
    <definedName name="wskakunin_kanri2__sikaku">DATA!$D$591</definedName>
    <definedName name="wskakunin_kanri2_DOC">DATA!$D$604</definedName>
    <definedName name="wskakunin_kanri2_JIMU__sikaku">DATA!$D$596</definedName>
    <definedName name="wskakunin_kanri2_JIMU_NAME">DATA!$D$600</definedName>
    <definedName name="wskakunin_kanri2_JIMU_NO">DATA!$D$599</definedName>
    <definedName name="wskakunin_kanri2_JIMU_SIKAKU__label">DATA!$D$597</definedName>
    <definedName name="wskakunin_kanri2_JIMU_TOUROKU_KIKAN__label">DATA!$D$598</definedName>
    <definedName name="wskakunin_kanri2_KENTIKUSI_NO">DATA!$D$594</definedName>
    <definedName name="wskakunin_kanri2_NAME">DATA!$D$595</definedName>
    <definedName name="wskakunin_kanri2_SIKAKU__label">DATA!$D$592</definedName>
    <definedName name="wskakunin_kanri2_TEL">DATA!$D$603</definedName>
    <definedName name="wskakunin_kanri2_TOUROKU_KIKAN__label">DATA!$D$593</definedName>
    <definedName name="wskakunin_kanri2_ZIP">DATA!$D$601</definedName>
    <definedName name="wskakunin_kanri3__address">DATA!$D$618</definedName>
    <definedName name="wskakunin_kanri3__sikaku">DATA!$D$607</definedName>
    <definedName name="wskakunin_kanri3_DOC">DATA!$D$620</definedName>
    <definedName name="wskakunin_kanri3_JIMU__sikaku">DATA!$D$612</definedName>
    <definedName name="wskakunin_kanri3_JIMU_NAME">DATA!$D$616</definedName>
    <definedName name="wskakunin_kanri3_JIMU_NO">DATA!$D$615</definedName>
    <definedName name="wskakunin_kanri3_JIMU_SIKAKU__label">DATA!$D$613</definedName>
    <definedName name="wskakunin_kanri3_JIMU_TOUROKU_KIKAN__label">DATA!$D$614</definedName>
    <definedName name="wskakunin_kanri3_KENTIKUSI_NO">DATA!$D$610</definedName>
    <definedName name="wskakunin_kanri3_NAME">DATA!$D$611</definedName>
    <definedName name="wskakunin_kanri3_SIKAKU__label">DATA!$D$608</definedName>
    <definedName name="wskakunin_kanri3_TEL">DATA!$D$619</definedName>
    <definedName name="wskakunin_kanri3_TOUROKU_KIKAN__label">DATA!$D$609</definedName>
    <definedName name="wskakunin_kanri3_ZIP">DATA!$D$617</definedName>
    <definedName name="wskakunin_kanri4__address">DATA!$D$634</definedName>
    <definedName name="wskakunin_kanri4__sikaku">DATA!$D$623</definedName>
    <definedName name="wskakunin_kanri4_DOC">DATA!$D$636</definedName>
    <definedName name="wskakunin_kanri4_JIMU__sikaku">DATA!$D$628</definedName>
    <definedName name="wskakunin_kanri4_JIMU_NAME">DATA!$D$632</definedName>
    <definedName name="wskakunin_kanri4_JIMU_NO">DATA!$D$631</definedName>
    <definedName name="wskakunin_kanri4_JIMU_SIKAKU__label">DATA!$D$629</definedName>
    <definedName name="wskakunin_kanri4_JIMU_TOUROKU_KIKAN__label">DATA!$D$630</definedName>
    <definedName name="wskakunin_kanri4_KENTIKUSI_NO">DATA!$D$626</definedName>
    <definedName name="wskakunin_kanri4_NAME">DATA!$D$627</definedName>
    <definedName name="wskakunin_kanri4_SIKAKU__label">DATA!$D$624</definedName>
    <definedName name="wskakunin_kanri4_TEL">DATA!$D$635</definedName>
    <definedName name="wskakunin_kanri4_TOUROKU_KIKAN__label">DATA!$D$625</definedName>
    <definedName name="wskakunin_kanri4_ZIP">DATA!$D$633</definedName>
    <definedName name="wskakunin_kanri5__address">DATA!$D$650</definedName>
    <definedName name="wskakunin_kanri5__sikaku">DATA!$D$639</definedName>
    <definedName name="wskakunin_kanri5_DOC">DATA!$D$652</definedName>
    <definedName name="wskakunin_kanri5_JIMU__sikaku">DATA!$D$644</definedName>
    <definedName name="wskakunin_kanri5_JIMU_NAME">DATA!$D$648</definedName>
    <definedName name="wskakunin_kanri5_JIMU_NO">DATA!$D$647</definedName>
    <definedName name="wskakunin_kanri5_JIMU_SIKAKU__label">DATA!$D$645</definedName>
    <definedName name="wskakunin_kanri5_JIMU_TOUROKU_KIKAN__label">DATA!$D$646</definedName>
    <definedName name="wskakunin_kanri5_KENTIKUSI_NO">DATA!$D$642</definedName>
    <definedName name="wskakunin_kanri5_NAME">DATA!$D$643</definedName>
    <definedName name="wskakunin_kanri5_SIKAKU__label">DATA!$D$640</definedName>
    <definedName name="wskakunin_kanri5_TEL">DATA!$D$651</definedName>
    <definedName name="wskakunin_kanri5_TOUROKU_KIKAN__label">DATA!$D$641</definedName>
    <definedName name="wskakunin_kanri5_ZIP">DATA!$D$649</definedName>
    <definedName name="wskakunin_kanri6__address">DATA!$D$666</definedName>
    <definedName name="wskakunin_kanri6__sikaku">DATA!$D$655</definedName>
    <definedName name="wskakunin_kanri6_DOC">DATA!$D$668</definedName>
    <definedName name="wskakunin_kanri6_JIMU__sikaku">DATA!$D$660</definedName>
    <definedName name="wskakunin_kanri6_JIMU_NAME">DATA!$D$664</definedName>
    <definedName name="wskakunin_kanri6_JIMU_NO">DATA!$D$663</definedName>
    <definedName name="wskakunin_kanri6_JIMU_SIKAKU__label">DATA!$D$661</definedName>
    <definedName name="wskakunin_kanri6_JIMU_TOUROKU_KIKAN__label">DATA!$D$662</definedName>
    <definedName name="wskakunin_kanri6_KENTIKUSI_NO">DATA!$D$658</definedName>
    <definedName name="wskakunin_kanri6_NAME">DATA!$D$659</definedName>
    <definedName name="wskakunin_kanri6_SIKAKU__label">DATA!$D$656</definedName>
    <definedName name="wskakunin_kanri6_TEL">DATA!$D$667</definedName>
    <definedName name="wskakunin_kanri6_TOUROKU_KIKAN__label">DATA!$D$657</definedName>
    <definedName name="wskakunin_kanri6_ZIP">DATA!$D$665</definedName>
    <definedName name="wskakunin_kanri7__address">DATA!$D$682</definedName>
    <definedName name="wskakunin_kanri7__sikaku">DATA!$D$671</definedName>
    <definedName name="wskakunin_kanri7_DOC">DATA!$D$684</definedName>
    <definedName name="wskakunin_kanri7_JIMU__sikaku">DATA!$D$676</definedName>
    <definedName name="wskakunin_kanri7_JIMU_NAME">DATA!$D$680</definedName>
    <definedName name="wskakunin_kanri7_JIMU_NO">DATA!$D$679</definedName>
    <definedName name="wskakunin_kanri7_JIMU_SIKAKU__label">DATA!$D$677</definedName>
    <definedName name="wskakunin_kanri7_JIMU_TOUROKU_KIKAN__label">DATA!$D$678</definedName>
    <definedName name="wskakunin_kanri7_KENTIKUSI_NO">DATA!$D$674</definedName>
    <definedName name="wskakunin_kanri7_NAME">DATA!$D$675</definedName>
    <definedName name="wskakunin_kanri7_SIKAKU__label">DATA!$D$672</definedName>
    <definedName name="wskakunin_kanri7_TEL">DATA!$D$683</definedName>
    <definedName name="wskakunin_kanri7_TOUROKU_KIKAN__label">DATA!$D$673</definedName>
    <definedName name="wskakunin_kanri7_ZIP">DATA!$D$681</definedName>
    <definedName name="wskakunin_kanri8__address">DATA!$D$698</definedName>
    <definedName name="wskakunin_kanri8__sikaku">DATA!$D$687</definedName>
    <definedName name="wskakunin_kanri8_DOC">DATA!$D$700</definedName>
    <definedName name="wskakunin_kanri8_JIMU__sikaku">DATA!$D$692</definedName>
    <definedName name="wskakunin_kanri8_JIMU_NAME">DATA!$D$696</definedName>
    <definedName name="wskakunin_kanri8_JIMU_NO">DATA!$D$695</definedName>
    <definedName name="wskakunin_kanri8_JIMU_SIKAKU__label">DATA!$D$693</definedName>
    <definedName name="wskakunin_kanri8_JIMU_TOUROKU_KIKAN__label">DATA!$D$694</definedName>
    <definedName name="wskakunin_kanri8_KENTIKUSI_NO">DATA!$D$690</definedName>
    <definedName name="wskakunin_kanri8_NAME">DATA!$D$691</definedName>
    <definedName name="wskakunin_kanri8_SIKAKU__label">DATA!$D$688</definedName>
    <definedName name="wskakunin_kanri8_TEL">DATA!$D$699</definedName>
    <definedName name="wskakunin_kanri8_TOUROKU_KIKAN__label">DATA!$D$689</definedName>
    <definedName name="wskakunin_kanri8_ZIP">DATA!$D$697</definedName>
    <definedName name="wskakunin_kanri9__address">DATA!$D$714</definedName>
    <definedName name="wskakunin_kanri9__sikaku">DATA!$D$703</definedName>
    <definedName name="wskakunin_kanri9_DOC">DATA!$D$716</definedName>
    <definedName name="wskakunin_kanri9_JIMU__sikaku">DATA!$D$708</definedName>
    <definedName name="wskakunin_kanri9_JIMU_NAME">DATA!$D$712</definedName>
    <definedName name="wskakunin_kanri9_JIMU_NO">DATA!$D$711</definedName>
    <definedName name="wskakunin_kanri9_JIMU_SIKAKU__label">DATA!$D$709</definedName>
    <definedName name="wskakunin_kanri9_JIMU_TOUROKU_KIKAN__label">DATA!$D$710</definedName>
    <definedName name="wskakunin_kanri9_KENTIKUSI_NO">DATA!$D$706</definedName>
    <definedName name="wskakunin_kanri9_NAME">DATA!$D$707</definedName>
    <definedName name="wskakunin_kanri9_SIKAKU__label">DATA!$D$704</definedName>
    <definedName name="wskakunin_kanri9_TEL">DATA!$D$715</definedName>
    <definedName name="wskakunin_kanri9_TOUROKU_KIKAN__label">DATA!$D$705</definedName>
    <definedName name="wskakunin_kanri9_ZIP">DATA!$D$713</definedName>
    <definedName name="wskakunin_keibi_henkou01_HENKOU_GAIYOU">DATA!$D$1291</definedName>
    <definedName name="wskakunin_keibi_henkou01_HENKOU_SYURUI">DATA!$D$1290</definedName>
    <definedName name="wskakunin_KENPEI_RITU">DATA!$D$1013</definedName>
    <definedName name="wskakunin_KENPEI_RITU_A">DATA!$D$952</definedName>
    <definedName name="wskakunin_KENPEI_RITU_B">DATA!$D$953</definedName>
    <definedName name="wskakunin_KENPEI_RITU_C">DATA!$D$954</definedName>
    <definedName name="wskakunin_KENPEI_RITU_D">DATA!$D$955</definedName>
    <definedName name="wskakunin_KENSA_YUKA_MENSEKI">DATA!$D$1199</definedName>
    <definedName name="wskakunin_KENTIKU_MENSEKI_IGAI">DATA!$D$1011</definedName>
    <definedName name="wskakunin_KENTIKU_MENSEKI_SHINSEI">DATA!$D$1010</definedName>
    <definedName name="wskakunin_KENTIKU_MENSEKI_TOTAL">DATA!$D$1012</definedName>
    <definedName name="wskakunin_KENTIKU_MENSEKI_ZENTAI_IGAI">DATA!$D$1008</definedName>
    <definedName name="wskakunin_KENTIKU_MENSEKI_ZENTAI_SHINSEI">DATA!$D$1007</definedName>
    <definedName name="wskakunin_KENTIKU_MENSEKI_ZENTAI_TOTAL">DATA!$D$1009</definedName>
    <definedName name="wskakunin_KENTIKU_NINSYO_NO">DATA!$D$1187</definedName>
    <definedName name="wskakunin_KIKAN_NAME">DATA!$D$51</definedName>
    <definedName name="wskakunin_KOUJI_DAI_MOYOUGAE">DATA!$D$974</definedName>
    <definedName name="wskakunin_KOUJI_DAI_SYUUZEN">DATA!$D$973</definedName>
    <definedName name="wskakunin_KOUJI_ITEN">DATA!$D$971</definedName>
    <definedName name="wskakunin_KOUJI_KAITIKU">DATA!$D$970</definedName>
    <definedName name="wskakunin_KOUJI_KANRYOU_DATE">DATA!$D$1294</definedName>
    <definedName name="wskakunin_KOUJI_KANRYOU_YOTEI_DATE">DATA!$D$1141</definedName>
    <definedName name="wskakunin_KOUJI_SINTIKU">DATA!$D$968</definedName>
    <definedName name="wskakunin_KOUJI_TYAKUSYU_DATE">DATA!$D$1189</definedName>
    <definedName name="wskakunin_KOUJI_TYAKUSYU_YOTEI_DATE">DATA!$D$1139</definedName>
    <definedName name="wskakunin_KOUJI_YOUTOHENKOU">DATA!$D$972</definedName>
    <definedName name="wskakunin_KOUJI_ZOUTIKU">DATA!$D$969</definedName>
    <definedName name="wskakunin_koutei_ikou01_KOUTEI_DATE">DATA!$D$1262</definedName>
    <definedName name="wskakunin_koutei_ikou01_KOUTEI_KAISUU">DATA!$D$1260</definedName>
    <definedName name="wskakunin_koutei_ikou01_KOUTEI_TEXT">DATA!$D$1261</definedName>
    <definedName name="wskakunin_koutei_ikou02_KOUTEI_DATE">DATA!$D$1267</definedName>
    <definedName name="wskakunin_koutei_ikou02_KOUTEI_KAISUU">DATA!$D$1265</definedName>
    <definedName name="wskakunin_koutei_ikou02_KOUTEI_TEXT">DATA!$D$1266</definedName>
    <definedName name="wskakunin_koutei_izen01_INTER_ISSUE_DATE">DATA!$D$1207</definedName>
    <definedName name="wskakunin_koutei_izen01_INTER_ISSUE_NAME">DATA!$D$1205</definedName>
    <definedName name="wskakunin_koutei_izen01_INTER_ISSUE_NO">DATA!$D$1206</definedName>
    <definedName name="wskakunin_koutei_izen01_KOUTEI_KAISUU">DATA!$D$1203</definedName>
    <definedName name="wskakunin_koutei_izen01_KOUTEI_TEXT">DATA!$D$1204</definedName>
    <definedName name="wskakunin_koutei_izen02_INTER_ISSUE_DATE">DATA!$D$1214</definedName>
    <definedName name="wskakunin_koutei_izen02_INTER_ISSUE_NAME">DATA!$D$1212</definedName>
    <definedName name="wskakunin_koutei_izen02_INTER_ISSUE_NO">DATA!$D$1213</definedName>
    <definedName name="wskakunin_koutei_izen02_KOUTEI_KAISUU">DATA!$D$1210</definedName>
    <definedName name="wskakunin_koutei_izen02_KOUTEI_TEXT">DATA!$D$1211</definedName>
    <definedName name="wskakunin_koutei_izen03_INTER_ISSUE_DATE">DATA!$D$1221</definedName>
    <definedName name="wskakunin_koutei_izen03_INTER_ISSUE_NAME">DATA!$D$1219</definedName>
    <definedName name="wskakunin_koutei_izen03_INTER_ISSUE_NO">DATA!$D$1220</definedName>
    <definedName name="wskakunin_koutei_izen03_KOUTEI_KAISUU">DATA!$D$1217</definedName>
    <definedName name="wskakunin_koutei_izen03_KOUTEI_TEXT">DATA!$D$1218</definedName>
    <definedName name="wskakunin_koutei_izen04_INTER_ISSUE_DATE">DATA!$D$1228</definedName>
    <definedName name="wskakunin_koutei_izen04_INTER_ISSUE_NAME">DATA!$D$1226</definedName>
    <definedName name="wskakunin_koutei_izen04_INTER_ISSUE_NO">DATA!$D$1227</definedName>
    <definedName name="wskakunin_koutei_izen04_KOUTEI_KAISUU">DATA!$D$1224</definedName>
    <definedName name="wskakunin_koutei_izen04_KOUTEI_TEXT">DATA!$D$1225</definedName>
    <definedName name="wskakunin_koutei01_INTER_ISSUE_DATE">DATA!$D$1301</definedName>
    <definedName name="wskakunin_koutei01_INTER_ISSUE_NAME">DATA!$D$1299</definedName>
    <definedName name="wskakunin_koutei01_INTER_ISSUE_NO">DATA!$D$1300</definedName>
    <definedName name="wskakunin_koutei01_KOUTEI_DATE">DATA!$D$1150</definedName>
    <definedName name="wskakunin_koutei01_KOUTEI_KAISUU">DATA!$D$1149</definedName>
    <definedName name="wskakunin_koutei01_KOUTEI_TEXT">DATA!$D$1151</definedName>
    <definedName name="wskakunin_koutei02_INTER_ISSUE_DATE">DATA!$D$1315</definedName>
    <definedName name="wskakunin_koutei02_INTER_ISSUE_NAME">DATA!$D$1313</definedName>
    <definedName name="wskakunin_koutei02_INTER_ISSUE_NO">DATA!$D$1314</definedName>
    <definedName name="wskakunin_koutei02_KOUTEI_DATE">DATA!$D$1155</definedName>
    <definedName name="wskakunin_koutei02_KOUTEI_KAISUU">DATA!$D$1154</definedName>
    <definedName name="wskakunin_koutei02_KOUTEI_TEXT">DATA!$D$1156</definedName>
    <definedName name="wskakunin_koutei03_KOUTEI_DATE">DATA!$D$1160</definedName>
    <definedName name="wskakunin_koutei03_KOUTEI_KAISUU">DATA!$D$1159</definedName>
    <definedName name="wskakunin_koutei03_KOUTEI_TEXT">DATA!$D$1161</definedName>
    <definedName name="wskakunin_koutei04_KOUTEI_DATE">DATA!$D$1165</definedName>
    <definedName name="wskakunin_koutei04_KOUTEI_KAISUU">DATA!$D$1164</definedName>
    <definedName name="wskakunin_koutei04_KOUTEI_TEXT">DATA!$D$1166</definedName>
    <definedName name="wskakunin_KOUZOU1">DATA!$D$1097</definedName>
    <definedName name="wskakunin_KOUZOU2">DATA!$D$1098</definedName>
    <definedName name="wskakunin_KUIKI_HISETTEI">DATA!$D$915</definedName>
    <definedName name="wskakunin_KUIKI_JYUN_TOSHI">DATA!$D$916</definedName>
    <definedName name="wskakunin_KUIKI_KUIKIGAI">DATA!$D$917</definedName>
    <definedName name="wskakunin_KUIKI_SIGAIKA">DATA!$D$912</definedName>
    <definedName name="wskakunin_KUIKI_TOSI">DATA!$D$909</definedName>
    <definedName name="wskakunin_KUIKI_TYOSEI">DATA!$D$914</definedName>
    <definedName name="wskakunin_kyoka01_">DATA!$D$1113</definedName>
    <definedName name="wskakunin_kyoka01_BIKOU">DATA!$D$1118</definedName>
    <definedName name="wskakunin_kyoka01_HOUREI">DATA!$D$1114</definedName>
    <definedName name="wskakunin_kyoka01_JOUKOU">DATA!$D$1115</definedName>
    <definedName name="wskakunin_kyoka01_KYOKA_DATE">DATA!$D$1117</definedName>
    <definedName name="wskakunin_kyoka01_KYOKA_NO">DATA!$D$1116</definedName>
    <definedName name="wskakunin_kyoka02_BIKOU">DATA!$D$1126</definedName>
    <definedName name="wskakunin_kyoka02_HOUREI">DATA!$D$1122</definedName>
    <definedName name="wskakunin_kyoka02_JOUKOU">DATA!$D$1123</definedName>
    <definedName name="wskakunin_kyoka02_KYOKA_DATE">DATA!$D$1125</definedName>
    <definedName name="wskakunin_kyoka02_KYOKA_NO">DATA!$D$1124</definedName>
    <definedName name="wskakunin_kyoka03_BIKOU">DATA!$D$1134</definedName>
    <definedName name="wskakunin_kyoka03_HOUREI">DATA!$D$1130</definedName>
    <definedName name="wskakunin_kyoka03_JOUKOU">DATA!$D$1131</definedName>
    <definedName name="wskakunin_kyoka03_KYOKA_DATE">DATA!$D$1133</definedName>
    <definedName name="wskakunin_kyoka03_KYOKA_NO">DATA!$D$1132</definedName>
    <definedName name="wskakunin_LAST_ISSUE_DATE">DATA!$D$56</definedName>
    <definedName name="wskakunin_LAST_ISSUE_NAME">DATA!$D$57</definedName>
    <definedName name="wskakunin_LAST_ISSUE_NO">DATA!$D$55</definedName>
    <definedName name="wskakunin_LIMIT_KENPEI_RITU">DATA!$D$960</definedName>
    <definedName name="wskakunin_LIMIT_YOUSEKI_RITU">DATA!$D$959</definedName>
    <definedName name="wskakunin_NOBE_MENSEKI">DATA!$D$1077</definedName>
    <definedName name="wskakunin_NOBE_MENSEKI_BITIKUSOUKO_IGAI">DATA!$D$1043</definedName>
    <definedName name="wskakunin_NOBE_MENSEKI_BITIKUSOUKO_SHINSEI">DATA!$D$1042</definedName>
    <definedName name="wskakunin_NOBE_MENSEKI_BITIKUSOUKO_TOTAL">DATA!$D$1044</definedName>
    <definedName name="wskakunin_NOBE_MENSEKI_BUILD_IGAI">DATA!$D$1018</definedName>
    <definedName name="wskakunin_NOBE_MENSEKI_BUILD_SHINSEI">DATA!$D$1017</definedName>
    <definedName name="wskakunin_NOBE_MENSEKI_BUILD_TOTAL">DATA!$D$1019</definedName>
    <definedName name="wskakunin_NOBE_MENSEKI_CHOSUISOU_IGAI">DATA!$D$1058</definedName>
    <definedName name="wskakunin_NOBE_MENSEKI_CHOSUISOU_SHINSEI">DATA!$D$1057</definedName>
    <definedName name="wskakunin_NOBE_MENSEKI_CHOSUISOU_TOTAL">DATA!$D$1059</definedName>
    <definedName name="wskakunin_NOBE_MENSEKI_JIKAHATUDEN_IGAI">DATA!$D$1053</definedName>
    <definedName name="wskakunin_NOBE_MENSEKI_JIKAHATUDEN_SHINSEI">DATA!$D$1052</definedName>
    <definedName name="wskakunin_NOBE_MENSEKI_JIKAHATUDEN_TOTAL">DATA!$D$1054</definedName>
    <definedName name="wskakunin_NOBE_MENSEKI_JYUTAKU_IGAI">DATA!$D$1068</definedName>
    <definedName name="wskakunin_NOBE_MENSEKI_JYUTAKU_SHINSEI">DATA!$D$1067</definedName>
    <definedName name="wskakunin_NOBE_MENSEKI_JYUTAKU_TOTAL">DATA!$D$1069</definedName>
    <definedName name="wskakunin_NOBE_MENSEKI_KYOYOU_IGAI">DATA!$D$1033</definedName>
    <definedName name="wskakunin_NOBE_MENSEKI_KYOYOU_SHINSEI">DATA!$D$1032</definedName>
    <definedName name="wskakunin_NOBE_MENSEKI_KYOYOU_TOTAL">DATA!$D$1034</definedName>
    <definedName name="wskakunin_NOBE_MENSEKI_ROUJIN_IGAI">DATA!$D$1073</definedName>
    <definedName name="wskakunin_NOBE_MENSEKI_ROUJIN_SHINSEI">DATA!$D$1072</definedName>
    <definedName name="wskakunin_NOBE_MENSEKI_ROUJIN_TOTAL">DATA!$D$1074</definedName>
    <definedName name="wskakunin_NOBE_MENSEKI_SYAKO_IGAI">DATA!$D$1038</definedName>
    <definedName name="wskakunin_NOBE_MENSEKI_SYAKO_SHINSEI">DATA!$D$1037</definedName>
    <definedName name="wskakunin_NOBE_MENSEKI_SYAKO_TOTAL">DATA!$D$1039</definedName>
    <definedName name="wskakunin_NOBE_MENSEKI_SYOUKOURO_IGAI">DATA!$D$1028</definedName>
    <definedName name="wskakunin_NOBE_MENSEKI_SYOUKOURO_SHINSEI">DATA!$D$1027</definedName>
    <definedName name="wskakunin_NOBE_MENSEKI_SYOUKOURO_TOTAL">DATA!$D$1029</definedName>
    <definedName name="wskakunin_NOBE_MENSEKI_TAKUHAI_IGAI">DATA!$D$1063</definedName>
    <definedName name="wskakunin_NOBE_MENSEKI_TAKUHAI_SHINSEI">DATA!$D$1062</definedName>
    <definedName name="wskakunin_NOBE_MENSEKI_TAKUHAI_TOTAL">DATA!$D$1064</definedName>
    <definedName name="wskakunin_NOBE_MENSEKI_TIKAI_IGAI">DATA!$D$1023</definedName>
    <definedName name="wskakunin_NOBE_MENSEKI_TIKAI_SHINSEI">DATA!$D$1022</definedName>
    <definedName name="wskakunin_NOBE_MENSEKI_TIKAI_TOTAL">DATA!$D$1024</definedName>
    <definedName name="wskakunin_NOBE_MENSEKI_TIKUDENTI_IGAI">DATA!$D$1048</definedName>
    <definedName name="wskakunin_NOBE_MENSEKI_TIKUDENTI_SHINSEI">DATA!$D$1047</definedName>
    <definedName name="wskakunin_NOBE_MENSEKI_TIKUDENTI_TOTAL">DATA!$D$1049</definedName>
    <definedName name="wskakunin_owner1__address">DATA!$D$81</definedName>
    <definedName name="wskakunin_owner1_JIMU_NAME">DATA!$D$71</definedName>
    <definedName name="wskakunin_owner1_JIMU_NAME_KANA">DATA!$D$72</definedName>
    <definedName name="wskakunin_owner1_NAME">DATA!$D$75</definedName>
    <definedName name="wskakunin_owner1_NAME_KANA">DATA!$D$76</definedName>
    <definedName name="wskakunin_owner1_POST">DATA!$D$73</definedName>
    <definedName name="wskakunin_owner1_POST_KANA">DATA!$D$74</definedName>
    <definedName name="wskakunin_owner1_TEL">DATA!$D$82</definedName>
    <definedName name="wskakunin_owner1_ZIP">DATA!$D$79</definedName>
    <definedName name="wskakunin_owner2__address">DATA!$D$96</definedName>
    <definedName name="wskakunin_owner2_JIMU_NAME">DATA!$D$89</definedName>
    <definedName name="wskakunin_owner2_JIMU_NAME_KANA">DATA!$D$90</definedName>
    <definedName name="wskakunin_owner2_NAME">DATA!$D$93</definedName>
    <definedName name="wskakunin_owner2_NAME_KANA">DATA!$D$94</definedName>
    <definedName name="wskakunin_owner2_POST">DATA!$D$91</definedName>
    <definedName name="wskakunin_owner2_POST_KANA">DATA!$D$92</definedName>
    <definedName name="wskakunin_owner2_TEL">DATA!$D$97</definedName>
    <definedName name="wskakunin_owner2_ZIP">DATA!$D$95</definedName>
    <definedName name="wskakunin_owner3__address">DATA!$D$110</definedName>
    <definedName name="wskakunin_owner3_JIMU_NAME">DATA!$D$103</definedName>
    <definedName name="wskakunin_owner3_JIMU_NAME_KANA">DATA!$D$104</definedName>
    <definedName name="wskakunin_owner3_NAME">DATA!$D$107</definedName>
    <definedName name="wskakunin_owner3_NAME_KANA">DATA!$D$108</definedName>
    <definedName name="wskakunin_owner3_POST">DATA!$D$105</definedName>
    <definedName name="wskakunin_owner3_POST_KANA">DATA!$D$106</definedName>
    <definedName name="wskakunin_owner3_TEL">DATA!$D$111</definedName>
    <definedName name="wskakunin_owner3_ZIP">DATA!$D$109</definedName>
    <definedName name="wskakunin_owner4__address">DATA!$D$123</definedName>
    <definedName name="wskakunin_owner4_JIMU_NAME">DATA!$D$116</definedName>
    <definedName name="wskakunin_owner4_JIMU_NAME_KANA">DATA!$D$117</definedName>
    <definedName name="wskakunin_owner4_NAME">DATA!$D$120</definedName>
    <definedName name="wskakunin_owner4_NAME_KANA">DATA!$D$121</definedName>
    <definedName name="wskakunin_owner4_POST">DATA!$D$118</definedName>
    <definedName name="wskakunin_owner4_POST_KANA">DATA!$D$119</definedName>
    <definedName name="wskakunin_owner4_TEL">DATA!$D$124</definedName>
    <definedName name="wskakunin_owner4_ZIP">DATA!$D$122</definedName>
    <definedName name="wskakunin_owner5__address">DATA!$D$136</definedName>
    <definedName name="wskakunin_owner5_JIMU_NAME">DATA!$D$129</definedName>
    <definedName name="wskakunin_owner5_JIMU_NAME_KANA">DATA!$D$130</definedName>
    <definedName name="wskakunin_owner5_NAME">DATA!$D$133</definedName>
    <definedName name="wskakunin_owner5_NAME_KANA">DATA!$D$134</definedName>
    <definedName name="wskakunin_owner5_POST">DATA!$D$131</definedName>
    <definedName name="wskakunin_owner5_POST_KANA">DATA!$D$132</definedName>
    <definedName name="wskakunin_owner5_TEL">DATA!$D$137</definedName>
    <definedName name="wskakunin_owner5_ZIP">DATA!$D$135</definedName>
    <definedName name="wskakunin_owner6__address">DATA!$D$148</definedName>
    <definedName name="wskakunin_owner6_JIMU_NAME">DATA!$D$141</definedName>
    <definedName name="wskakunin_owner6_JIMU_NAME_KANA">DATA!$D$142</definedName>
    <definedName name="wskakunin_owner6_NAME">DATA!$D$145</definedName>
    <definedName name="wskakunin_owner6_NAME_KANA">DATA!$D$146</definedName>
    <definedName name="wskakunin_owner6_POST">DATA!$D$143</definedName>
    <definedName name="wskakunin_owner6_POST_KANA">DATA!$D$144</definedName>
    <definedName name="wskakunin_owner6_TEL">DATA!$D$149</definedName>
    <definedName name="wskakunin_owner6_ZIP">DATA!$D$147</definedName>
    <definedName name="wskakunin_owner7__address">DATA!$D$160</definedName>
    <definedName name="wskakunin_owner7_JIMU_NAME">DATA!$D$153</definedName>
    <definedName name="wskakunin_owner7_JIMU_NAME_KANA">DATA!$D$154</definedName>
    <definedName name="wskakunin_owner7_NAME">DATA!$D$157</definedName>
    <definedName name="wskakunin_owner7_NAME_KANA">DATA!$D$158</definedName>
    <definedName name="wskakunin_owner7_POST">DATA!$D$155</definedName>
    <definedName name="wskakunin_owner7_POST_KANA">DATA!$D$156</definedName>
    <definedName name="wskakunin_owner7_TEL">DATA!$D$161</definedName>
    <definedName name="wskakunin_owner7_ZIP">DATA!$D$159</definedName>
    <definedName name="wskakunin_owner8__address">DATA!$D$171</definedName>
    <definedName name="wskakunin_owner8_JIMU_NAME">DATA!$D$164</definedName>
    <definedName name="wskakunin_owner8_JIMU_NAME_KANA">DATA!$D$165</definedName>
    <definedName name="wskakunin_owner8_NAME">DATA!$D$168</definedName>
    <definedName name="wskakunin_owner8_NAME_KANA">DATA!$D$169</definedName>
    <definedName name="wskakunin_owner8_POST">DATA!$D$166</definedName>
    <definedName name="wskakunin_owner8_POST_KANA">DATA!$D$167</definedName>
    <definedName name="wskakunin_owner8_TEL">DATA!$D$172</definedName>
    <definedName name="wskakunin_owner8_ZIP">DATA!$D$170</definedName>
    <definedName name="wskakunin_owner9__address">DATA!$D$182</definedName>
    <definedName name="wskakunin_owner9_JIMU_NAME">DATA!$D$175</definedName>
    <definedName name="wskakunin_owner9_JIMU_NAME_KANA">DATA!$D$176</definedName>
    <definedName name="wskakunin_owner9_NAME">DATA!$D$179</definedName>
    <definedName name="wskakunin_owner9_NAME_KANA">DATA!$D$180</definedName>
    <definedName name="wskakunin_owner9_POST">DATA!$D$177</definedName>
    <definedName name="wskakunin_owner9_POST_KANA">DATA!$D$178</definedName>
    <definedName name="wskakunin_owner9_TEL">DATA!$D$183</definedName>
    <definedName name="wskakunin_owner9_ZIP">DATA!$D$181</definedName>
    <definedName name="wskakunin_P1_HENKOU_GAIYOU">DATA!$D$58</definedName>
    <definedName name="wskakunin_P2_BIKOU">DATA!$D$832</definedName>
    <definedName name="wskakunin_P3_BIKOU">DATA!$D$1174</definedName>
    <definedName name="wskakunin_P3_SONOTA">DATA!$D$1172</definedName>
    <definedName name="wskakunin_p4_1__kouji">DATA!$D$873</definedName>
    <definedName name="wskakunin_p4_1_KAISU_TIKAI">DATA!$D$875</definedName>
    <definedName name="wskakunin_p4_1_KAISU_TIKAI_NOZOKU">DATA!$D$874</definedName>
    <definedName name="wskakunin_p4_1_KOUZOU1">DATA!$D$876</definedName>
    <definedName name="wskakunin_p4_1_KOUZOU2">DATA!$D$877</definedName>
    <definedName name="wskakunin_p4_1_TAKASA_KEN_MAX">DATA!$D$879</definedName>
    <definedName name="wskakunin_p4_1_TAKASA_MAX">DATA!$D$878</definedName>
    <definedName name="wskakunin_p4_1_TOKUREI_1">DATA!$D$890</definedName>
    <definedName name="wskakunin_p4_1_TOKUREI_2">DATA!$D$891</definedName>
    <definedName name="wskakunin_p4_1_TOKUREI_3">DATA!$D$892</definedName>
    <definedName name="wskakunin_p4_1_TOKUREI_4">DATA!$D$893</definedName>
    <definedName name="wskakunin_p4_1_youto1_YOUTO">DATA!$D$864</definedName>
    <definedName name="wskakunin_p4_1_youto1_YOUTO_CODE">DATA!$D$865</definedName>
    <definedName name="wskakunin_p4_1_YUKA_MENSEKI_SHINSEI">DATA!$D$880</definedName>
    <definedName name="wskakunin_p4_2_KAISU_TIKAI">DATA!$D$883</definedName>
    <definedName name="wskakunin_p4_2_KAISU_TIKAI_NOZOKU">DATA!$D$882</definedName>
    <definedName name="wskakunin_p4_2_YUKA_MENSEKI_SHINSEI">DATA!$D$884</definedName>
    <definedName name="wskakunin_p4_3_KAISU_TIKAI">DATA!$D$887</definedName>
    <definedName name="wskakunin_p4_3_KAISU_TIKAI_NOZOKU">DATA!$D$886</definedName>
    <definedName name="wskakunin_p4_3_YUKA_MENSEKI_SHINSEI">DATA!$D$888</definedName>
    <definedName name="wskakunin_PAGE1_ALTERATION_NOTE">DATA!$D$65</definedName>
    <definedName name="wskakunin_sekkei1__address">DATA!$D$288</definedName>
    <definedName name="wskakunin_sekkei1__sikaku">DATA!$D$276</definedName>
    <definedName name="wskakunin_sekkei1_DOC">DATA!$D$290</definedName>
    <definedName name="wskakunin_sekkei1_JIMU__sikaku">DATA!$D$281</definedName>
    <definedName name="wskakunin_sekkei1_JIMU_NAME">DATA!$D$285</definedName>
    <definedName name="wskakunin_sekkei1_JIMU_NO">DATA!$D$284</definedName>
    <definedName name="wskakunin_sekkei1_JIMU_SIKAKU__label">DATA!$D$282</definedName>
    <definedName name="wskakunin_sekkei1_JIMU_TOUROKU_KIKAN__label">DATA!$D$283</definedName>
    <definedName name="wskakunin_sekkei1_KENTIKUSI_NO">DATA!$D$279</definedName>
    <definedName name="wskakunin_sekkei1_NAME">DATA!$D$280</definedName>
    <definedName name="wskakunin_sekkei1_SIKAKU__label">DATA!$D$277</definedName>
    <definedName name="wskakunin_sekkei1_TEL">DATA!$D$289</definedName>
    <definedName name="wskakunin_sekkei1_TOUROKU_KIKAN__label">DATA!$D$278</definedName>
    <definedName name="wskakunin_sekkei1_ZIP">DATA!$D$287</definedName>
    <definedName name="wskakunin_sekkei10__address">DATA!$D$441</definedName>
    <definedName name="wskakunin_sekkei10__sikaku">DATA!$D$429</definedName>
    <definedName name="wskakunin_sekkei10_DOC">DATA!$D$443</definedName>
    <definedName name="wskakunin_sekkei10_JIMU__sikaku">DATA!$D$434</definedName>
    <definedName name="wskakunin_sekkei10_JIMU_NAME">DATA!$D$438</definedName>
    <definedName name="wskakunin_sekkei10_JIMU_NO">DATA!$D$437</definedName>
    <definedName name="wskakunin_sekkei10_JIMU_SIKAKU__label">DATA!$D$435</definedName>
    <definedName name="wskakunin_sekkei10_JIMU_TOUROKU_KIKAN__label">DATA!$D$436</definedName>
    <definedName name="wskakunin_sekkei10_KENTIKUSI_NO">DATA!$D$432</definedName>
    <definedName name="wskakunin_sekkei10_NAME">DATA!$D$433</definedName>
    <definedName name="wskakunin_sekkei10_SIKAKU__label">DATA!$D$430</definedName>
    <definedName name="wskakunin_sekkei10_TEL">DATA!$D$442</definedName>
    <definedName name="wskakunin_sekkei10_TOUROKU_KIKAN__label">DATA!$D$431</definedName>
    <definedName name="wskakunin_sekkei10_ZIP">DATA!$D$440</definedName>
    <definedName name="wskakunin_sekkei11__address">DATA!$D$458</definedName>
    <definedName name="wskakunin_sekkei11__sikaku">DATA!$D$446</definedName>
    <definedName name="wskakunin_sekkei11_DOC">DATA!$D$460</definedName>
    <definedName name="wskakunin_sekkei11_JIMU__sikaku">DATA!$D$451</definedName>
    <definedName name="wskakunin_sekkei11_JIMU_NAME">DATA!$D$455</definedName>
    <definedName name="wskakunin_sekkei11_JIMU_NO">DATA!$D$454</definedName>
    <definedName name="wskakunin_sekkei11_JIMU_SIKAKU__label">DATA!$D$452</definedName>
    <definedName name="wskakunin_sekkei11_JIMU_TOUROKU_KIKAN__label">DATA!$D$453</definedName>
    <definedName name="wskakunin_sekkei11_KENTIKUSI_NO">DATA!$D$449</definedName>
    <definedName name="wskakunin_sekkei11_NAME">DATA!$D$450</definedName>
    <definedName name="wskakunin_sekkei11_SIKAKU__label">DATA!$D$447</definedName>
    <definedName name="wskakunin_sekkei11_TEL">DATA!$D$459</definedName>
    <definedName name="wskakunin_sekkei11_TOUROKU_KIKAN__label">DATA!$D$448</definedName>
    <definedName name="wskakunin_sekkei11_ZIP">DATA!$D$457</definedName>
    <definedName name="wskakunin_sekkei12__address">DATA!$D$475</definedName>
    <definedName name="wskakunin_sekkei12__sikaku">DATA!$D$463</definedName>
    <definedName name="wskakunin_sekkei12_DOC">DATA!$D$477</definedName>
    <definedName name="wskakunin_sekkei12_JIMU__sikaku">DATA!$D$468</definedName>
    <definedName name="wskakunin_sekkei12_JIMU_NAME">DATA!$D$472</definedName>
    <definedName name="wskakunin_sekkei12_JIMU_NO">DATA!$D$471</definedName>
    <definedName name="wskakunin_sekkei12_JIMU_SIKAKU__label">DATA!$D$469</definedName>
    <definedName name="wskakunin_sekkei12_JIMU_TOUROKU_KIKAN__label">DATA!$D$470</definedName>
    <definedName name="wskakunin_sekkei12_KENTIKUSI_NO">DATA!$D$466</definedName>
    <definedName name="wskakunin_sekkei12_NAME">DATA!$D$467</definedName>
    <definedName name="wskakunin_sekkei12_SIKAKU__label">DATA!$D$464</definedName>
    <definedName name="wskakunin_sekkei12_TEL">DATA!$D$476</definedName>
    <definedName name="wskakunin_sekkei12_TOUROKU_KIKAN__label">DATA!$D$465</definedName>
    <definedName name="wskakunin_sekkei12_ZIP">DATA!$D$474</definedName>
    <definedName name="wskakunin_sekkei2__address">DATA!$D$305</definedName>
    <definedName name="wskakunin_sekkei2__sikaku">DATA!$D$293</definedName>
    <definedName name="wskakunin_sekkei2_DOC">DATA!$D$307</definedName>
    <definedName name="wskakunin_sekkei2_JIMU__sikaku">DATA!$D$298</definedName>
    <definedName name="wskakunin_sekkei2_JIMU_NAME">DATA!$D$302</definedName>
    <definedName name="wskakunin_sekkei2_JIMU_NO">DATA!$D$301</definedName>
    <definedName name="wskakunin_sekkei2_JIMU_SIKAKU__label">DATA!$D$299</definedName>
    <definedName name="wskakunin_sekkei2_JIMU_TOUROKU_KIKAN__label">DATA!$D$300</definedName>
    <definedName name="wskakunin_sekkei2_KENTIKUSI_NO">DATA!$D$296</definedName>
    <definedName name="wskakunin_sekkei2_NAME">DATA!$D$297</definedName>
    <definedName name="wskakunin_sekkei2_SIKAKU__label">DATA!$D$294</definedName>
    <definedName name="wskakunin_sekkei2_TEL">DATA!$D$306</definedName>
    <definedName name="wskakunin_sekkei2_TOUROKU_KIKAN__label">DATA!$D$295</definedName>
    <definedName name="wskakunin_sekkei2_ZIP">DATA!$D$304</definedName>
    <definedName name="wskakunin_sekkei3__address">DATA!$D$322</definedName>
    <definedName name="wskakunin_sekkei3__sikaku">DATA!$D$310</definedName>
    <definedName name="wskakunin_sekkei3_DOC">DATA!$D$324</definedName>
    <definedName name="wskakunin_sekkei3_JIMU__sikaku">DATA!$D$315</definedName>
    <definedName name="wskakunin_sekkei3_JIMU_NAME">DATA!$D$319</definedName>
    <definedName name="wskakunin_sekkei3_JIMU_NO">DATA!$D$318</definedName>
    <definedName name="wskakunin_sekkei3_JIMU_SIKAKU__label">DATA!$D$316</definedName>
    <definedName name="wskakunin_sekkei3_JIMU_TOUROKU_KIKAN__label">DATA!$D$317</definedName>
    <definedName name="wskakunin_sekkei3_KENTIKUSI_NO">DATA!$D$313</definedName>
    <definedName name="wskakunin_sekkei3_NAME">DATA!$D$314</definedName>
    <definedName name="wskakunin_sekkei3_SIKAKU__label">DATA!$D$311</definedName>
    <definedName name="wskakunin_sekkei3_TEL">DATA!$D$323</definedName>
    <definedName name="wskakunin_sekkei3_TOUROKU_KIKAN__label">DATA!$D$312</definedName>
    <definedName name="wskakunin_sekkei3_ZIP">DATA!$D$321</definedName>
    <definedName name="wskakunin_sekkei4__address">DATA!$D$339</definedName>
    <definedName name="wskakunin_sekkei4__sikaku">DATA!$D$327</definedName>
    <definedName name="wskakunin_sekkei4_DOC">DATA!$D$341</definedName>
    <definedName name="wskakunin_sekkei4_JIMU__sikaku">DATA!$D$332</definedName>
    <definedName name="wskakunin_sekkei4_JIMU_NAME">DATA!$D$336</definedName>
    <definedName name="wskakunin_sekkei4_JIMU_NO">DATA!$D$335</definedName>
    <definedName name="wskakunin_sekkei4_JIMU_SIKAKU__label">DATA!$D$333</definedName>
    <definedName name="wskakunin_sekkei4_JIMU_TOUROKU_KIKAN__label">DATA!$D$334</definedName>
    <definedName name="wskakunin_sekkei4_KENTIKUSI_NO">DATA!$D$330</definedName>
    <definedName name="wskakunin_sekkei4_NAME">DATA!$D$331</definedName>
    <definedName name="wskakunin_sekkei4_SIKAKU__label">DATA!$D$328</definedName>
    <definedName name="wskakunin_sekkei4_TEL">DATA!$D$340</definedName>
    <definedName name="wskakunin_sekkei4_TOUROKU_KIKAN__label">DATA!$D$329</definedName>
    <definedName name="wskakunin_sekkei4_ZIP">DATA!$D$338</definedName>
    <definedName name="wskakunin_sekkei5__address">DATA!$D$356</definedName>
    <definedName name="wskakunin_sekkei5__sikaku">DATA!$D$344</definedName>
    <definedName name="wskakunin_sekkei5_DOC">DATA!$D$358</definedName>
    <definedName name="wskakunin_sekkei5_JIMU__sikaku">DATA!$D$349</definedName>
    <definedName name="wskakunin_sekkei5_JIMU_NAME">DATA!$D$353</definedName>
    <definedName name="wskakunin_sekkei5_JIMU_NO">DATA!$D$352</definedName>
    <definedName name="wskakunin_sekkei5_JIMU_SIKAKU__label">DATA!$D$350</definedName>
    <definedName name="wskakunin_sekkei5_JIMU_TOUROKU_KIKAN__label">DATA!$D$351</definedName>
    <definedName name="wskakunin_sekkei5_KENTIKUSI_NO">DATA!$D$347</definedName>
    <definedName name="wskakunin_sekkei5_NAME">DATA!$D$348</definedName>
    <definedName name="wskakunin_sekkei5_SIKAKU__label">DATA!$D$345</definedName>
    <definedName name="wskakunin_sekkei5_TEL">DATA!$D$357</definedName>
    <definedName name="wskakunin_sekkei5_TOUROKU_KIKAN__label">DATA!$D$346</definedName>
    <definedName name="wskakunin_sekkei5_ZIP">DATA!$D$355</definedName>
    <definedName name="wskakunin_sekkei6__address">DATA!$D$373</definedName>
    <definedName name="wskakunin_sekkei6__sikaku">DATA!$D$361</definedName>
    <definedName name="wskakunin_sekkei6_DOC">DATA!$D$375</definedName>
    <definedName name="wskakunin_sekkei6_JIMU__sikaku">DATA!$D$366</definedName>
    <definedName name="wskakunin_sekkei6_JIMU_NAME">DATA!$D$370</definedName>
    <definedName name="wskakunin_sekkei6_JIMU_NO">DATA!$D$369</definedName>
    <definedName name="wskakunin_sekkei6_JIMU_SIKAKU__label">DATA!$D$367</definedName>
    <definedName name="wskakunin_sekkei6_JIMU_TOUROKU_KIKAN__label">DATA!$D$368</definedName>
    <definedName name="wskakunin_sekkei6_KENTIKUSI_NO">DATA!$D$364</definedName>
    <definedName name="wskakunin_sekkei6_NAME">DATA!$D$365</definedName>
    <definedName name="wskakunin_sekkei6_SIKAKU__label">DATA!$D$362</definedName>
    <definedName name="wskakunin_sekkei6_TEL">DATA!$D$374</definedName>
    <definedName name="wskakunin_sekkei6_TOUROKU_KIKAN__label">DATA!$D$363</definedName>
    <definedName name="wskakunin_sekkei6_ZIP">DATA!$D$372</definedName>
    <definedName name="wskakunin_sekkei7__address">DATA!$D$390</definedName>
    <definedName name="wskakunin_sekkei7__sikaku">DATA!$D$378</definedName>
    <definedName name="wskakunin_sekkei7_DOC">DATA!$D$392</definedName>
    <definedName name="wskakunin_sekkei7_JIMU__sikaku">DATA!$D$383</definedName>
    <definedName name="wskakunin_sekkei7_JIMU_NAME">DATA!$D$387</definedName>
    <definedName name="wskakunin_sekkei7_JIMU_NO">DATA!$D$386</definedName>
    <definedName name="wskakunin_sekkei7_JIMU_SIKAKU__label">DATA!$D$384</definedName>
    <definedName name="wskakunin_sekkei7_JIMU_TOUROKU_KIKAN__label">DATA!$D$385</definedName>
    <definedName name="wskakunin_sekkei7_KENTIKUSI_NO">DATA!$D$381</definedName>
    <definedName name="wskakunin_sekkei7_NAME">DATA!$D$382</definedName>
    <definedName name="wskakunin_sekkei7_SIKAKU__label">DATA!$D$379</definedName>
    <definedName name="wskakunin_sekkei7_TEL">DATA!$D$391</definedName>
    <definedName name="wskakunin_sekkei7_TOUROKU_KIKAN__label">DATA!$D$380</definedName>
    <definedName name="wskakunin_sekkei7_ZIP">DATA!$D$389</definedName>
    <definedName name="wskakunin_sekkei8__address">DATA!$D$407</definedName>
    <definedName name="wskakunin_sekkei8__sikaku">DATA!$D$395</definedName>
    <definedName name="wskakunin_sekkei8_DOC">DATA!$D$409</definedName>
    <definedName name="wskakunin_sekkei8_JIMU__sikaku">DATA!$D$400</definedName>
    <definedName name="wskakunin_sekkei8_JIMU_NAME">DATA!$D$404</definedName>
    <definedName name="wskakunin_sekkei8_JIMU_NO">DATA!$D$403</definedName>
    <definedName name="wskakunin_sekkei8_JIMU_SIKAKU__label">DATA!$D$401</definedName>
    <definedName name="wskakunin_sekkei8_JIMU_TOUROKU_KIKAN__label">DATA!$D$402</definedName>
    <definedName name="wskakunin_sekkei8_KENTIKUSI_NO">DATA!$D$398</definedName>
    <definedName name="wskakunin_sekkei8_NAME">DATA!$D$399</definedName>
    <definedName name="wskakunin_sekkei8_SIKAKU__label">DATA!$D$396</definedName>
    <definedName name="wskakunin_sekkei8_TEL">DATA!$D$408</definedName>
    <definedName name="wskakunin_sekkei8_TOUROKU_KIKAN__label">DATA!$D$397</definedName>
    <definedName name="wskakunin_sekkei8_ZIP">DATA!$D$406</definedName>
    <definedName name="wskakunin_sekkei9__address">DATA!$D$424</definedName>
    <definedName name="wskakunin_sekkei9__sikaku">DATA!$D$412</definedName>
    <definedName name="wskakunin_sekkei9_DOC">DATA!$D$426</definedName>
    <definedName name="wskakunin_sekkei9_JIMU__sikaku">DATA!$D$417</definedName>
    <definedName name="wskakunin_sekkei9_JIMU_NAME">DATA!$D$421</definedName>
    <definedName name="wskakunin_sekkei9_JIMU_NO">DATA!$D$420</definedName>
    <definedName name="wskakunin_sekkei9_JIMU_SIKAKU__label">DATA!$D$418</definedName>
    <definedName name="wskakunin_sekkei9_JIMU_TOUROKU_KIKAN__label">DATA!$D$419</definedName>
    <definedName name="wskakunin_sekkei9_KENTIKUSI_NO">DATA!$D$415</definedName>
    <definedName name="wskakunin_sekkei9_NAME">DATA!$D$416</definedName>
    <definedName name="wskakunin_sekkei9_SIKAKU__label">DATA!$D$413</definedName>
    <definedName name="wskakunin_sekkei9_TEL">DATA!$D$425</definedName>
    <definedName name="wskakunin_sekkei9_TOUROKU_KIKAN__label">DATA!$D$414</definedName>
    <definedName name="wskakunin_sekkei9_ZIP">DATA!$D$423</definedName>
    <definedName name="wskakunin_sekou1__address">DATA!$D$773</definedName>
    <definedName name="wskakunin_sekou1_JIMU_NAME">DATA!$D$771</definedName>
    <definedName name="wskakunin_sekou1_NAME">DATA!$D$767</definedName>
    <definedName name="wskakunin_sekou1_SEKOU__sikaku">DATA!$D$768</definedName>
    <definedName name="wskakunin_sekou1_SEKOU_NO">DATA!$D$770</definedName>
    <definedName name="wskakunin_sekou1_SEKOU_SIKAKU__label">DATA!$D$769</definedName>
    <definedName name="wskakunin_sekou1_TEL">DATA!$D$774</definedName>
    <definedName name="wskakunin_sekou1_ZIP">DATA!$D$772</definedName>
    <definedName name="wskakunin_sekou2__address">DATA!$D$783</definedName>
    <definedName name="wskakunin_sekou2_JIMU_NAME">DATA!$D$781</definedName>
    <definedName name="wskakunin_sekou2_NAME">DATA!$D$777</definedName>
    <definedName name="wskakunin_sekou2_SEKOU__sikaku">DATA!$D$778</definedName>
    <definedName name="wskakunin_sekou2_SEKOU_NO">DATA!$D$780</definedName>
    <definedName name="wskakunin_sekou2_SEKOU_SIKAKU__label">DATA!$D$779</definedName>
    <definedName name="wskakunin_sekou2_TEL">DATA!$D$784</definedName>
    <definedName name="wskakunin_sekou2_ZIP">DATA!$D$782</definedName>
    <definedName name="wskakunin_sekou3__address">DATA!$D$793</definedName>
    <definedName name="wskakunin_sekou3_JIMU_NAME">DATA!$D$791</definedName>
    <definedName name="wskakunin_sekou3_NAME">DATA!$D$787</definedName>
    <definedName name="wskakunin_sekou3_SEKOU__sikaku">DATA!$D$788</definedName>
    <definedName name="wskakunin_sekou3_SEKOU_NO">DATA!$D$790</definedName>
    <definedName name="wskakunin_sekou3_SEKOU_SIKAKU__label">DATA!$D$789</definedName>
    <definedName name="wskakunin_sekou3_TEL">DATA!$D$794</definedName>
    <definedName name="wskakunin_sekou3_ZIP">DATA!$D$792</definedName>
    <definedName name="wskakunin_sekou4__address">DATA!$D$803</definedName>
    <definedName name="wskakunin_sekou4_JIMU_NAME">DATA!$D$801</definedName>
    <definedName name="wskakunin_sekou4_NAME">DATA!$D$797</definedName>
    <definedName name="wskakunin_sekou4_SEKOU__sikaku">DATA!$D$798</definedName>
    <definedName name="wskakunin_sekou4_SEKOU_NO">DATA!$D$800</definedName>
    <definedName name="wskakunin_sekou4_SEKOU_SIKAKU__label">DATA!$D$799</definedName>
    <definedName name="wskakunin_sekou4_TEL">DATA!$D$804</definedName>
    <definedName name="wskakunin_sekou4_ZIP">DATA!$D$802</definedName>
    <definedName name="wskakunin_sekou5__address">DATA!$D$813</definedName>
    <definedName name="wskakunin_sekou5_JIMU_NAME">DATA!$D$811</definedName>
    <definedName name="wskakunin_sekou5_NAME">DATA!$D$807</definedName>
    <definedName name="wskakunin_sekou5_SEKOU__sikaku">DATA!$D$808</definedName>
    <definedName name="wskakunin_sekou5_SEKOU_NO">DATA!$D$810</definedName>
    <definedName name="wskakunin_sekou5_SEKOU_SIKAKU__label">DATA!$D$809</definedName>
    <definedName name="wskakunin_sekou5_TEL">DATA!$D$814</definedName>
    <definedName name="wskakunin_sekou5_ZIP">DATA!$D$812</definedName>
    <definedName name="wskakunin_sekou6__address">DATA!$D$823</definedName>
    <definedName name="wskakunin_sekou6_JIMU_NAME">DATA!$D$821</definedName>
    <definedName name="wskakunin_sekou6_NAME">DATA!$D$817</definedName>
    <definedName name="wskakunin_sekou6_SEKOU__sikaku">DATA!$D$818</definedName>
    <definedName name="wskakunin_sekou6_SEKOU_NO">DATA!$D$820</definedName>
    <definedName name="wskakunin_sekou6_SEKOU_SIKAKU__label">DATA!$D$819</definedName>
    <definedName name="wskakunin_sekou6_TEL">DATA!$D$824</definedName>
    <definedName name="wskakunin_sekou6_ZIP">DATA!$D$822</definedName>
    <definedName name="wskakunin_SHIKITI_MENSEKI_1_TOTAL">DATA!$D$957</definedName>
    <definedName name="wskakunin_SHIKITI_MENSEKI_1A">DATA!$D$933</definedName>
    <definedName name="wskakunin_SHIKITI_MENSEKI_1B">DATA!$D$934</definedName>
    <definedName name="wskakunin_SHIKITI_MENSEKI_1C">DATA!$D$935</definedName>
    <definedName name="wskakunin_SHIKITI_MENSEKI_1D">DATA!$D$936</definedName>
    <definedName name="wskakunin_SHIKITI_MENSEKI_2_TOTAL">DATA!$D$958</definedName>
    <definedName name="wskakunin_SHIKITI_MENSEKI_2A">DATA!$D$937</definedName>
    <definedName name="wskakunin_SHIKITI_MENSEKI_2B">DATA!$D$938</definedName>
    <definedName name="wskakunin_SHIKITI_MENSEKI_2C">DATA!$D$939</definedName>
    <definedName name="wskakunin_SHIKITI_MENSEKI_2D">DATA!$D$940</definedName>
    <definedName name="wskakunin_SHIKITI_MENSEKI_BIKOU">DATA!$D$961</definedName>
    <definedName name="wskakunin_SHINSEI_DATE">DATA!$D$53</definedName>
    <definedName name="wskakunin_SONOTA_KUIKI">DATA!$D$925</definedName>
    <definedName name="wskakunin_TAKASA_MAX_SHINSEI">DATA!$D$1088</definedName>
    <definedName name="wskakunin_TAKASA_MAX_SONOTA">DATA!$D$1089</definedName>
    <definedName name="wskakunin_tekihan01_TEKIHAN_KIKAN_ADDRESS">DATA!$D$842</definedName>
    <definedName name="wskakunin_tekihan01_TEKIHAN_KIKAN_KEN__ken">DATA!$D$841</definedName>
    <definedName name="wskakunin_tekihan01_TEKIHAN_KIKAN_NAME">DATA!$D$840</definedName>
    <definedName name="wskakunin_tekihan01_TEKIHAN_STATE">DATA!$D$836</definedName>
    <definedName name="wskakunin_tekihan02_TEKIHAN_KIKAN_ADDRESS">DATA!$D$846</definedName>
    <definedName name="wskakunin_tekihan02_TEKIHAN_KIKAN_KEN__ken">DATA!$D$845</definedName>
    <definedName name="wskakunin_tekihan02_TEKIHAN_KIKAN_NAME">DATA!$D$844</definedName>
    <definedName name="wskakunin_TOKUREI_1">DATA!$D$1182</definedName>
    <definedName name="wskakunin_TOKUREI_2">DATA!$D$1183</definedName>
    <definedName name="wskakunin_TOKUREI_3">DATA!$D$1184</definedName>
    <definedName name="wskakunin_TOKUREI_4">DATA!$D$1185</definedName>
    <definedName name="wskakunin_TOKUREI_TAKASA">DATA!$D$1103</definedName>
    <definedName name="wskakunin_TOKUREI_TAKASA_DOURO">DATA!$D$1108</definedName>
    <definedName name="wskakunin_TOKUREI_TAKASA_KITA">DATA!$D$1110</definedName>
    <definedName name="wskakunin_TOKUREI_TAKASA_RINTI">DATA!$D$1109</definedName>
    <definedName name="wskakunin_TOKUTEI_KOUJI_KANRYOU_DATE">DATA!$D$1197</definedName>
    <definedName name="wskakunin_TOKUTEI_KOUTEI">DATA!$D$1194</definedName>
    <definedName name="wskakunin_YOUSEKI_RITU">DATA!$D$1080</definedName>
    <definedName name="wskakunin_YOUSEKI_RITU_A">DATA!$D$947</definedName>
    <definedName name="wskakunin_YOUSEKI_RITU_B">DATA!$D$948</definedName>
    <definedName name="wskakunin_YOUSEKI_RITU_C">DATA!$D$949</definedName>
    <definedName name="wskakunin_YOUSEKI_RITU_D">DATA!$D$950</definedName>
    <definedName name="wskakunin_YOUTO">DATA!$D$964</definedName>
    <definedName name="wskakunin_YOUTO_CODE">DATA!$D$963</definedName>
    <definedName name="wskakunin_YOUTO_TIIKI_A">DATA!$D$942</definedName>
    <definedName name="wskakunin_YOUTO_TIIKI_B">DATA!$D$943</definedName>
    <definedName name="wskakunin_YOUTO_TIIKI_C">DATA!$D$944</definedName>
    <definedName name="wskakunin_YOUTO_TIIKI_D">DATA!$D$945</definedName>
    <definedName name="wskakuninKOUJI_SETUBI">DATA!$D$975</definedName>
    <definedName name="Z_D83ABAE7_1F4C_4C77_8E04_C5172671ED17_.wvu.Rows" localSheetId="3">DATA!$866:$872</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項目リスト!$AP$3:$AP$39</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9" i="108" l="1"/>
  <c r="AH113" i="89"/>
  <c r="AH112" i="89"/>
  <c r="AH111" i="89"/>
  <c r="AH59" i="89"/>
  <c r="AH58" i="89"/>
  <c r="AH57" i="89"/>
  <c r="N38" i="89"/>
  <c r="D38" i="89"/>
  <c r="N35" i="89"/>
  <c r="D35" i="89"/>
  <c r="AH5" i="89"/>
  <c r="AH4" i="89"/>
  <c r="AH3" i="89"/>
  <c r="AH58" i="88"/>
  <c r="AH57" i="88"/>
  <c r="AH4" i="88"/>
  <c r="AH3" i="88"/>
  <c r="AH58" i="94"/>
  <c r="AH57" i="94"/>
  <c r="J32" i="94"/>
  <c r="K29" i="94"/>
  <c r="AH4" i="94"/>
  <c r="AH3" i="94"/>
  <c r="AH58" i="87"/>
  <c r="AH57" i="87"/>
  <c r="AH4" i="87"/>
  <c r="AH3" i="87"/>
  <c r="AH58" i="86"/>
  <c r="AH57" i="86"/>
  <c r="J32" i="86"/>
  <c r="K29" i="86"/>
  <c r="AH4" i="86"/>
  <c r="AH3" i="86"/>
  <c r="AH58" i="93"/>
  <c r="AH57" i="93"/>
  <c r="AH4" i="93"/>
  <c r="AH3" i="93"/>
  <c r="AH168" i="92"/>
  <c r="AH167" i="92"/>
  <c r="AH166" i="92"/>
  <c r="AH165" i="92"/>
  <c r="AE118" i="92"/>
  <c r="AE117" i="92"/>
  <c r="AE116" i="92"/>
  <c r="AE115" i="92"/>
  <c r="AH114" i="92"/>
  <c r="AE114" i="92"/>
  <c r="AH113" i="92"/>
  <c r="AE113" i="92"/>
  <c r="AH112" i="92"/>
  <c r="AE112" i="92"/>
  <c r="AH111" i="92"/>
  <c r="AE111" i="92"/>
  <c r="AE110" i="92"/>
  <c r="AE109" i="92"/>
  <c r="AE108" i="92"/>
  <c r="AE107" i="92"/>
  <c r="AE106" i="92"/>
  <c r="AE105" i="92"/>
  <c r="AE104" i="92"/>
  <c r="AE103" i="92"/>
  <c r="AE102" i="92"/>
  <c r="AE101" i="92"/>
  <c r="AE100" i="92"/>
  <c r="AE99" i="92"/>
  <c r="AE98" i="92"/>
  <c r="AE97" i="92"/>
  <c r="AE96" i="92"/>
  <c r="AE95" i="92"/>
  <c r="AE94" i="92"/>
  <c r="AE93" i="92"/>
  <c r="AE92" i="92"/>
  <c r="AE91" i="92"/>
  <c r="AE90" i="92"/>
  <c r="AE89" i="92"/>
  <c r="AE88" i="92"/>
  <c r="AE87" i="92"/>
  <c r="AE86" i="92"/>
  <c r="AE85" i="92"/>
  <c r="AE84" i="92"/>
  <c r="AE83" i="92"/>
  <c r="AE82" i="92"/>
  <c r="AE81" i="92"/>
  <c r="AE80" i="92"/>
  <c r="AE79" i="92"/>
  <c r="AE78" i="92"/>
  <c r="AE77" i="92"/>
  <c r="AE76" i="92"/>
  <c r="AE75" i="92"/>
  <c r="AE74" i="92"/>
  <c r="AE73" i="92"/>
  <c r="AE72" i="92"/>
  <c r="AH60" i="92"/>
  <c r="AH59" i="92"/>
  <c r="AH58" i="92"/>
  <c r="AH57" i="92"/>
  <c r="K31" i="92"/>
  <c r="J30" i="92"/>
  <c r="X21" i="92"/>
  <c r="X20" i="92"/>
  <c r="AH6" i="92"/>
  <c r="AH5" i="92"/>
  <c r="AH4" i="92"/>
  <c r="AH3" i="92"/>
  <c r="AH168" i="85"/>
  <c r="AH167" i="85"/>
  <c r="AH166" i="85"/>
  <c r="AH165" i="85"/>
  <c r="AE118" i="85"/>
  <c r="AE117" i="85"/>
  <c r="AE116" i="85"/>
  <c r="AE115" i="85"/>
  <c r="AH114" i="85"/>
  <c r="AE114" i="85"/>
  <c r="AH113" i="85"/>
  <c r="AE113" i="85"/>
  <c r="AH112" i="85"/>
  <c r="AE112" i="85"/>
  <c r="AH111" i="85"/>
  <c r="AE111" i="85"/>
  <c r="AE110" i="85"/>
  <c r="AE109" i="85"/>
  <c r="AE108" i="85"/>
  <c r="AE107" i="85"/>
  <c r="AE106" i="85"/>
  <c r="AE105" i="85"/>
  <c r="AE104" i="85"/>
  <c r="AE103" i="85"/>
  <c r="AE102" i="85"/>
  <c r="AE101" i="85"/>
  <c r="AE100" i="85"/>
  <c r="AE99" i="85"/>
  <c r="AE98" i="85"/>
  <c r="AE97" i="85"/>
  <c r="AE96" i="85"/>
  <c r="AE95" i="85"/>
  <c r="AE94" i="85"/>
  <c r="AE93" i="85"/>
  <c r="AE92" i="85"/>
  <c r="AE91" i="85"/>
  <c r="AE90" i="85"/>
  <c r="AE89" i="85"/>
  <c r="AE88" i="85"/>
  <c r="AE87" i="85"/>
  <c r="AE86" i="85"/>
  <c r="AE85" i="85"/>
  <c r="AE84" i="85"/>
  <c r="AE83" i="85"/>
  <c r="AE82" i="85"/>
  <c r="AE81" i="85"/>
  <c r="AE80" i="85"/>
  <c r="AE79" i="85"/>
  <c r="AE78" i="85"/>
  <c r="AE77" i="85"/>
  <c r="AE76" i="85"/>
  <c r="AE75" i="85"/>
  <c r="AE74" i="85"/>
  <c r="AE73" i="85"/>
  <c r="AE72" i="85"/>
  <c r="AH60" i="85"/>
  <c r="AH59" i="85"/>
  <c r="AH58" i="85"/>
  <c r="AH57" i="85"/>
  <c r="X21" i="85"/>
  <c r="X20" i="85"/>
  <c r="AH6" i="85"/>
  <c r="AH5" i="85"/>
  <c r="AH4" i="85"/>
  <c r="AH3" i="85"/>
  <c r="AH58" i="99"/>
  <c r="AH57" i="99"/>
  <c r="AH4" i="99"/>
  <c r="AH3" i="99"/>
  <c r="AH58" i="84"/>
  <c r="AH57" i="84"/>
  <c r="AH4" i="84"/>
  <c r="AH3" i="84"/>
  <c r="I30" i="83"/>
  <c r="Q29" i="83"/>
  <c r="J29" i="83"/>
  <c r="AH369" i="82"/>
  <c r="AH368" i="82"/>
  <c r="AH367" i="82"/>
  <c r="AH366" i="82"/>
  <c r="AH365" i="82"/>
  <c r="AH364" i="82"/>
  <c r="AH363" i="82"/>
  <c r="AH362" i="82"/>
  <c r="AH315" i="82"/>
  <c r="AH314" i="82"/>
  <c r="AH313" i="82"/>
  <c r="AH312" i="82"/>
  <c r="AH311" i="82"/>
  <c r="AH310" i="82"/>
  <c r="AH309" i="82"/>
  <c r="AH308" i="82"/>
  <c r="I283" i="82"/>
  <c r="I282" i="82"/>
  <c r="I280" i="82"/>
  <c r="J279" i="82"/>
  <c r="AH272" i="82"/>
  <c r="AH271" i="82"/>
  <c r="AH270" i="82"/>
  <c r="AH269" i="82"/>
  <c r="AH268" i="82"/>
  <c r="AH267" i="82"/>
  <c r="AH266" i="82"/>
  <c r="AH265" i="82"/>
  <c r="AH218" i="82"/>
  <c r="AH217" i="82"/>
  <c r="AH216" i="82"/>
  <c r="AH215" i="82"/>
  <c r="AH214" i="82"/>
  <c r="AH213" i="82"/>
  <c r="AH212" i="82"/>
  <c r="AH211" i="82"/>
  <c r="AH164" i="82"/>
  <c r="AH163" i="82"/>
  <c r="AH162" i="82"/>
  <c r="AH161" i="82"/>
  <c r="AH160" i="82"/>
  <c r="AH159" i="82"/>
  <c r="AH158" i="82"/>
  <c r="AH157" i="82"/>
  <c r="AH110" i="82"/>
  <c r="AH109" i="82"/>
  <c r="AH108" i="82"/>
  <c r="AH107" i="82"/>
  <c r="AH106" i="82"/>
  <c r="AH105" i="82"/>
  <c r="AH104" i="82"/>
  <c r="AH103" i="82"/>
  <c r="AH56" i="82"/>
  <c r="AH55" i="82"/>
  <c r="AH54" i="82"/>
  <c r="AH53" i="82"/>
  <c r="AH52" i="82"/>
  <c r="AH51" i="82"/>
  <c r="AH50" i="82"/>
  <c r="AH49" i="82"/>
  <c r="AH10" i="82"/>
  <c r="AH9" i="82"/>
  <c r="AH8" i="82"/>
  <c r="AH7" i="82"/>
  <c r="AH6" i="82"/>
  <c r="AH5" i="82"/>
  <c r="AH4" i="82"/>
  <c r="AH3" i="82"/>
  <c r="C35" i="81"/>
  <c r="L34" i="81"/>
  <c r="H34" i="81"/>
  <c r="C34" i="81"/>
  <c r="L33" i="81"/>
  <c r="H33" i="81"/>
  <c r="C33" i="81"/>
  <c r="C32" i="81"/>
  <c r="I28" i="81"/>
  <c r="F28" i="81"/>
  <c r="D28" i="81"/>
  <c r="D27" i="81"/>
  <c r="B25" i="81"/>
  <c r="N24" i="81"/>
  <c r="H24" i="81"/>
  <c r="F24" i="81"/>
  <c r="B24" i="81"/>
  <c r="N23" i="81"/>
  <c r="B23" i="81"/>
  <c r="M9" i="80"/>
  <c r="G9" i="80"/>
  <c r="E9" i="80"/>
  <c r="A9" i="80"/>
  <c r="M8" i="80"/>
  <c r="A8" i="80"/>
  <c r="Y223" i="97"/>
  <c r="Y222" i="97"/>
  <c r="Y221" i="97"/>
  <c r="Y220" i="97"/>
  <c r="Y219" i="97"/>
  <c r="Y169" i="97"/>
  <c r="Y168" i="97"/>
  <c r="Y167" i="97"/>
  <c r="Y166" i="97"/>
  <c r="Y165" i="97"/>
  <c r="Y115" i="97"/>
  <c r="Y114" i="97"/>
  <c r="Y113" i="97"/>
  <c r="Y112" i="97"/>
  <c r="Y111" i="97"/>
  <c r="O75" i="97"/>
  <c r="L75" i="97"/>
  <c r="I75" i="97"/>
  <c r="F75" i="97"/>
  <c r="F73" i="97"/>
  <c r="Q72" i="97"/>
  <c r="F72" i="97"/>
  <c r="Q71" i="97"/>
  <c r="F71" i="97"/>
  <c r="Y61" i="97"/>
  <c r="Y60" i="97"/>
  <c r="Y59" i="97"/>
  <c r="Y58" i="97"/>
  <c r="Y57" i="97"/>
  <c r="Y17" i="97"/>
  <c r="Y16" i="97"/>
  <c r="Y15" i="97"/>
  <c r="Y14" i="97"/>
  <c r="Y13" i="97"/>
  <c r="Y223" i="91"/>
  <c r="Y222" i="91"/>
  <c r="Y221" i="91"/>
  <c r="Y220" i="91"/>
  <c r="Y219" i="91"/>
  <c r="Y169" i="91"/>
  <c r="Y168" i="91"/>
  <c r="Y167" i="91"/>
  <c r="Y166" i="91"/>
  <c r="Y165" i="91"/>
  <c r="Y115" i="91"/>
  <c r="Y114" i="91"/>
  <c r="Y113" i="91"/>
  <c r="Y112" i="91"/>
  <c r="Y111" i="91"/>
  <c r="O75" i="91"/>
  <c r="L75" i="91"/>
  <c r="I75" i="91"/>
  <c r="F75" i="91"/>
  <c r="F73" i="91"/>
  <c r="Q72" i="91"/>
  <c r="F72" i="91"/>
  <c r="Q71" i="91"/>
  <c r="F71" i="91"/>
  <c r="Y61" i="91"/>
  <c r="Y60" i="91"/>
  <c r="Y59" i="91"/>
  <c r="Y58" i="91"/>
  <c r="Y57" i="91"/>
  <c r="Y17" i="91"/>
  <c r="Y16" i="91"/>
  <c r="Y15" i="91"/>
  <c r="Y14" i="91"/>
  <c r="Y13" i="91"/>
  <c r="L18" i="72"/>
  <c r="B18" i="72"/>
  <c r="L17" i="72"/>
  <c r="B17" i="72"/>
  <c r="B16" i="72"/>
  <c r="B15" i="72"/>
  <c r="L18" i="71"/>
  <c r="B18" i="71"/>
  <c r="L17" i="71"/>
  <c r="B17" i="71"/>
  <c r="B16" i="71"/>
  <c r="B15" i="71"/>
  <c r="L18" i="70"/>
  <c r="B18" i="70"/>
  <c r="L17" i="70"/>
  <c r="B17" i="70"/>
  <c r="B16" i="70"/>
  <c r="B15" i="70"/>
  <c r="F1326" i="3"/>
  <c r="F1315" i="3"/>
  <c r="F1314" i="3"/>
  <c r="F1313" i="3"/>
  <c r="F1301" i="3"/>
  <c r="F1300" i="3"/>
  <c r="F1299" i="3"/>
  <c r="F1291" i="3"/>
  <c r="F1290" i="3"/>
  <c r="F1267" i="3"/>
  <c r="F1266" i="3"/>
  <c r="F1265" i="3"/>
  <c r="F1262" i="3"/>
  <c r="F1261" i="3"/>
  <c r="F1260" i="3"/>
  <c r="F1228" i="3"/>
  <c r="F1227" i="3"/>
  <c r="F1226" i="3"/>
  <c r="F1225" i="3"/>
  <c r="F1224" i="3"/>
  <c r="F1221" i="3"/>
  <c r="F1220" i="3"/>
  <c r="F1219" i="3"/>
  <c r="F1218" i="3"/>
  <c r="F1217" i="3"/>
  <c r="F1214" i="3"/>
  <c r="F1213" i="3"/>
  <c r="F1212" i="3"/>
  <c r="F1211" i="3"/>
  <c r="F1210" i="3"/>
  <c r="F1207" i="3"/>
  <c r="F1206" i="3"/>
  <c r="F1205" i="3"/>
  <c r="F1204" i="3"/>
  <c r="F1203" i="3"/>
  <c r="F1194" i="3"/>
  <c r="F1187" i="3"/>
  <c r="C277" i="82" s="1"/>
  <c r="F1181" i="3"/>
  <c r="F1174" i="3"/>
  <c r="F1172" i="3"/>
  <c r="F1170" i="3"/>
  <c r="F1169" i="3"/>
  <c r="F1168" i="3"/>
  <c r="F1166" i="3"/>
  <c r="F1165" i="3"/>
  <c r="F1164" i="3"/>
  <c r="F1161" i="3"/>
  <c r="F1160" i="3"/>
  <c r="F1159" i="3"/>
  <c r="F1156" i="3"/>
  <c r="F1312" i="3" s="1"/>
  <c r="F1155" i="3"/>
  <c r="F1154" i="3"/>
  <c r="F1311" i="3" s="1"/>
  <c r="F1151" i="3"/>
  <c r="F1298" i="3" s="1"/>
  <c r="F1150" i="3"/>
  <c r="F1149" i="3"/>
  <c r="F1297" i="3" s="1"/>
  <c r="F1144" i="3"/>
  <c r="H98" i="97" s="1"/>
  <c r="F1143" i="3"/>
  <c r="F1141" i="3"/>
  <c r="I58" i="91" s="1"/>
  <c r="F1139" i="3"/>
  <c r="I57" i="97" s="1"/>
  <c r="F1134" i="3"/>
  <c r="F1133" i="3"/>
  <c r="F1132" i="3"/>
  <c r="F1131" i="3"/>
  <c r="F1130" i="3"/>
  <c r="F1126" i="3"/>
  <c r="F1125" i="3"/>
  <c r="F1124" i="3"/>
  <c r="F1123" i="3"/>
  <c r="F1122" i="3"/>
  <c r="F1118" i="3"/>
  <c r="F1117" i="3"/>
  <c r="F1116" i="3"/>
  <c r="F1115" i="3"/>
  <c r="F1114" i="3"/>
  <c r="F1110" i="3"/>
  <c r="F1109" i="3"/>
  <c r="F1108" i="3"/>
  <c r="F1105" i="3"/>
  <c r="F1104" i="3"/>
  <c r="F1103" i="3"/>
  <c r="F1100" i="3"/>
  <c r="F1099" i="3"/>
  <c r="F1098" i="3"/>
  <c r="F1097" i="3"/>
  <c r="F1101" i="3" s="1"/>
  <c r="F1095" i="3"/>
  <c r="F1094" i="3"/>
  <c r="F1092" i="3"/>
  <c r="F1091" i="3"/>
  <c r="F1089" i="3"/>
  <c r="F1088" i="3"/>
  <c r="F1084" i="3"/>
  <c r="F1083" i="3"/>
  <c r="F1080" i="3"/>
  <c r="F1077" i="3"/>
  <c r="F1074" i="3"/>
  <c r="F1073" i="3"/>
  <c r="F1072" i="3"/>
  <c r="F1069" i="3"/>
  <c r="F1068" i="3"/>
  <c r="F1067" i="3"/>
  <c r="F1064" i="3"/>
  <c r="F1063" i="3"/>
  <c r="F1062" i="3"/>
  <c r="F1059" i="3"/>
  <c r="F1058" i="3"/>
  <c r="F1057" i="3"/>
  <c r="F1054" i="3"/>
  <c r="F1053" i="3"/>
  <c r="F1052" i="3"/>
  <c r="F1049" i="3"/>
  <c r="F1048" i="3"/>
  <c r="F1047" i="3"/>
  <c r="F1044" i="3"/>
  <c r="F1043" i="3"/>
  <c r="F1042" i="3"/>
  <c r="F1039" i="3"/>
  <c r="F1038" i="3"/>
  <c r="F1037" i="3"/>
  <c r="F1034" i="3"/>
  <c r="F1033" i="3"/>
  <c r="F1032" i="3"/>
  <c r="F1029" i="3"/>
  <c r="F1028" i="3"/>
  <c r="F1027" i="3"/>
  <c r="F1024" i="3"/>
  <c r="F1023" i="3"/>
  <c r="F1022" i="3"/>
  <c r="F1019" i="3"/>
  <c r="F1018" i="3"/>
  <c r="F1017" i="3"/>
  <c r="N31" i="76" s="1"/>
  <c r="F1013" i="3"/>
  <c r="F1012" i="3"/>
  <c r="F1011" i="3"/>
  <c r="F1010" i="3"/>
  <c r="F1009" i="3"/>
  <c r="F1008" i="3"/>
  <c r="F1007" i="3"/>
  <c r="F1004" i="3"/>
  <c r="F1003" i="3"/>
  <c r="F1002" i="3"/>
  <c r="F1001" i="3"/>
  <c r="F1000" i="3"/>
  <c r="F999" i="3"/>
  <c r="F998" i="3"/>
  <c r="F997" i="3"/>
  <c r="F996" i="3"/>
  <c r="F993" i="3"/>
  <c r="F992" i="3"/>
  <c r="F991" i="3"/>
  <c r="F990" i="3"/>
  <c r="F989" i="3"/>
  <c r="F988" i="3"/>
  <c r="F986" i="3"/>
  <c r="F985" i="3"/>
  <c r="F984" i="3"/>
  <c r="F983" i="3"/>
  <c r="F982" i="3"/>
  <c r="F981" i="3"/>
  <c r="F980" i="3"/>
  <c r="F979" i="3"/>
  <c r="F978" i="3"/>
  <c r="F975" i="3"/>
  <c r="R275" i="82" s="1"/>
  <c r="F974" i="3"/>
  <c r="L275" i="82" s="1"/>
  <c r="F973" i="3"/>
  <c r="G275" i="82" s="1"/>
  <c r="F972" i="3"/>
  <c r="F971" i="3"/>
  <c r="P274" i="82" s="1"/>
  <c r="F970" i="3"/>
  <c r="M274" i="82" s="1"/>
  <c r="F969" i="3"/>
  <c r="J274" i="82" s="1"/>
  <c r="F968" i="3"/>
  <c r="G274" i="82" s="1"/>
  <c r="F967" i="3"/>
  <c r="F965" i="3"/>
  <c r="F964" i="3"/>
  <c r="F963" i="3"/>
  <c r="F961" i="3"/>
  <c r="F960" i="3"/>
  <c r="F959" i="3"/>
  <c r="F958" i="3"/>
  <c r="F957" i="3"/>
  <c r="O107" i="91" s="1"/>
  <c r="F955" i="3"/>
  <c r="F954" i="3"/>
  <c r="F953" i="3"/>
  <c r="F952" i="3"/>
  <c r="F950" i="3"/>
  <c r="F949" i="3"/>
  <c r="F948" i="3"/>
  <c r="F947" i="3"/>
  <c r="F945" i="3"/>
  <c r="F944" i="3"/>
  <c r="F943" i="3"/>
  <c r="F942" i="3"/>
  <c r="F940" i="3"/>
  <c r="F939" i="3"/>
  <c r="F938" i="3"/>
  <c r="F937" i="3"/>
  <c r="F936" i="3"/>
  <c r="F935" i="3"/>
  <c r="F934" i="3"/>
  <c r="F933" i="3"/>
  <c r="F929" i="3"/>
  <c r="F928" i="3"/>
  <c r="F925" i="3"/>
  <c r="F923" i="3"/>
  <c r="F922" i="3"/>
  <c r="F921" i="3"/>
  <c r="F920" i="3"/>
  <c r="F919" i="3"/>
  <c r="F917" i="3"/>
  <c r="F916" i="3"/>
  <c r="F915" i="3"/>
  <c r="F914" i="3"/>
  <c r="F913" i="3"/>
  <c r="F912" i="3"/>
  <c r="F910" i="3"/>
  <c r="F911" i="3" s="1"/>
  <c r="F909" i="3"/>
  <c r="F906" i="3"/>
  <c r="F905" i="3"/>
  <c r="F904" i="3"/>
  <c r="F269" i="82" s="1"/>
  <c r="F901" i="3"/>
  <c r="F900" i="3"/>
  <c r="F899" i="3"/>
  <c r="D31" i="89" s="1"/>
  <c r="D135" i="89" s="1"/>
  <c r="F894" i="3"/>
  <c r="D273" i="82" s="1"/>
  <c r="F888" i="3"/>
  <c r="T100" i="97" s="1"/>
  <c r="F887" i="3"/>
  <c r="T105" i="91" s="1"/>
  <c r="F886" i="3"/>
  <c r="T103" i="97" s="1"/>
  <c r="F884" i="3"/>
  <c r="N100" i="97" s="1"/>
  <c r="F883" i="3"/>
  <c r="N105" i="97" s="1"/>
  <c r="F882" i="3"/>
  <c r="N103" i="91" s="1"/>
  <c r="F880" i="3"/>
  <c r="H100" i="91" s="1"/>
  <c r="F879" i="3"/>
  <c r="F878" i="3"/>
  <c r="F877" i="3"/>
  <c r="F876" i="3"/>
  <c r="H30" i="76" s="1"/>
  <c r="F875" i="3"/>
  <c r="H105" i="97" s="1"/>
  <c r="F874" i="3"/>
  <c r="H103" i="91" s="1"/>
  <c r="F873" i="3"/>
  <c r="H36" i="78" s="1"/>
  <c r="F872" i="3"/>
  <c r="F865" i="3"/>
  <c r="F864" i="3"/>
  <c r="S34" i="78" s="1"/>
  <c r="F860" i="3"/>
  <c r="F859" i="3"/>
  <c r="F858" i="3"/>
  <c r="F856" i="3"/>
  <c r="F855" i="3"/>
  <c r="F854" i="3"/>
  <c r="F853" i="3"/>
  <c r="F852" i="3"/>
  <c r="F851" i="3"/>
  <c r="F846" i="3"/>
  <c r="F845" i="3"/>
  <c r="F844" i="3"/>
  <c r="F842" i="3"/>
  <c r="F841" i="3"/>
  <c r="F840" i="3"/>
  <c r="F839" i="3"/>
  <c r="F838" i="3"/>
  <c r="F837" i="3"/>
  <c r="F832" i="3"/>
  <c r="F831" i="3"/>
  <c r="B185" i="82" s="1"/>
  <c r="F830" i="3"/>
  <c r="B186" i="82" s="1"/>
  <c r="F824" i="3"/>
  <c r="F823" i="3"/>
  <c r="F822" i="3"/>
  <c r="F821" i="3"/>
  <c r="F820" i="3"/>
  <c r="F819" i="3"/>
  <c r="F818" i="3"/>
  <c r="F817" i="3"/>
  <c r="F814" i="3"/>
  <c r="F813" i="3"/>
  <c r="F812" i="3"/>
  <c r="F811" i="3"/>
  <c r="F810" i="3"/>
  <c r="F809" i="3"/>
  <c r="F808" i="3"/>
  <c r="F807" i="3"/>
  <c r="F804" i="3"/>
  <c r="F803" i="3"/>
  <c r="F802" i="3"/>
  <c r="F801" i="3"/>
  <c r="F800" i="3"/>
  <c r="F799" i="3"/>
  <c r="F798" i="3"/>
  <c r="F797" i="3"/>
  <c r="F794" i="3"/>
  <c r="F793" i="3"/>
  <c r="F792" i="3"/>
  <c r="F791" i="3"/>
  <c r="F790" i="3"/>
  <c r="F789" i="3"/>
  <c r="F788" i="3"/>
  <c r="F787" i="3"/>
  <c r="F784" i="3"/>
  <c r="F783" i="3"/>
  <c r="F782" i="3"/>
  <c r="F781" i="3"/>
  <c r="F780" i="3"/>
  <c r="F779" i="3"/>
  <c r="F778" i="3"/>
  <c r="F777" i="3"/>
  <c r="F774" i="3"/>
  <c r="G182" i="82" s="1"/>
  <c r="F773" i="3"/>
  <c r="G180" i="82" s="1"/>
  <c r="F772" i="3"/>
  <c r="H179" i="82" s="1"/>
  <c r="F771" i="3"/>
  <c r="G178" i="82" s="1"/>
  <c r="F770" i="3"/>
  <c r="Q177" i="82" s="1"/>
  <c r="F769" i="3"/>
  <c r="K177" i="82" s="1"/>
  <c r="F768" i="3"/>
  <c r="F767" i="3"/>
  <c r="G175" i="82" s="1"/>
  <c r="F764" i="3"/>
  <c r="F763" i="3"/>
  <c r="F762" i="3"/>
  <c r="F761" i="3"/>
  <c r="F760" i="3"/>
  <c r="F759" i="3"/>
  <c r="F758" i="3"/>
  <c r="F757" i="3"/>
  <c r="F756" i="3"/>
  <c r="F755" i="3"/>
  <c r="F754" i="3"/>
  <c r="F753" i="3"/>
  <c r="F752" i="3"/>
  <c r="F751" i="3"/>
  <c r="F748" i="3"/>
  <c r="F747" i="3"/>
  <c r="F746" i="3"/>
  <c r="F745" i="3"/>
  <c r="F744" i="3"/>
  <c r="F743" i="3"/>
  <c r="F742" i="3"/>
  <c r="F741" i="3"/>
  <c r="F740" i="3"/>
  <c r="F739" i="3"/>
  <c r="F738" i="3"/>
  <c r="F737" i="3"/>
  <c r="F736" i="3"/>
  <c r="F735" i="3"/>
  <c r="F732" i="3"/>
  <c r="F731" i="3"/>
  <c r="F730" i="3"/>
  <c r="F729" i="3"/>
  <c r="F728" i="3"/>
  <c r="F727" i="3"/>
  <c r="F726" i="3"/>
  <c r="F725" i="3"/>
  <c r="F724" i="3"/>
  <c r="F723" i="3"/>
  <c r="F722" i="3"/>
  <c r="F721" i="3"/>
  <c r="F720" i="3"/>
  <c r="F719" i="3"/>
  <c r="F716" i="3"/>
  <c r="F715" i="3"/>
  <c r="F714" i="3"/>
  <c r="F713" i="3"/>
  <c r="F712" i="3"/>
  <c r="F711" i="3"/>
  <c r="F710" i="3"/>
  <c r="F709" i="3"/>
  <c r="F708" i="3"/>
  <c r="F707" i="3"/>
  <c r="F706" i="3"/>
  <c r="F705" i="3"/>
  <c r="F704" i="3"/>
  <c r="F703" i="3"/>
  <c r="F700" i="3"/>
  <c r="F699" i="3"/>
  <c r="F698" i="3"/>
  <c r="F697" i="3"/>
  <c r="F696" i="3"/>
  <c r="F695" i="3"/>
  <c r="F694" i="3"/>
  <c r="F693" i="3"/>
  <c r="F692" i="3"/>
  <c r="F691" i="3"/>
  <c r="F690" i="3"/>
  <c r="F689" i="3"/>
  <c r="F688" i="3"/>
  <c r="F687" i="3"/>
  <c r="F684" i="3"/>
  <c r="F683" i="3"/>
  <c r="F682" i="3"/>
  <c r="F681" i="3"/>
  <c r="F680" i="3"/>
  <c r="F679" i="3"/>
  <c r="F678" i="3"/>
  <c r="F677" i="3"/>
  <c r="F676" i="3"/>
  <c r="F675" i="3"/>
  <c r="F674" i="3"/>
  <c r="F673" i="3"/>
  <c r="F672" i="3"/>
  <c r="F671" i="3"/>
  <c r="F668" i="3"/>
  <c r="F667" i="3"/>
  <c r="F666" i="3"/>
  <c r="F665" i="3"/>
  <c r="F664" i="3"/>
  <c r="F663" i="3"/>
  <c r="F662" i="3"/>
  <c r="F661" i="3"/>
  <c r="F660" i="3"/>
  <c r="F659" i="3"/>
  <c r="F658" i="3"/>
  <c r="F657" i="3"/>
  <c r="F656" i="3"/>
  <c r="F655" i="3"/>
  <c r="F652" i="3"/>
  <c r="F651" i="3"/>
  <c r="F650" i="3"/>
  <c r="F649" i="3"/>
  <c r="F648" i="3"/>
  <c r="F647" i="3"/>
  <c r="F646" i="3"/>
  <c r="F645" i="3"/>
  <c r="F644" i="3"/>
  <c r="F643" i="3"/>
  <c r="F642" i="3"/>
  <c r="F641" i="3"/>
  <c r="F640" i="3"/>
  <c r="F639" i="3"/>
  <c r="F636" i="3"/>
  <c r="J152" i="82" s="1"/>
  <c r="F635" i="3"/>
  <c r="G151" i="82" s="1"/>
  <c r="F634" i="3"/>
  <c r="G149" i="82" s="1"/>
  <c r="F633" i="3"/>
  <c r="H148" i="82" s="1"/>
  <c r="F632" i="3"/>
  <c r="G147" i="82" s="1"/>
  <c r="F631" i="3"/>
  <c r="R146" i="82" s="1"/>
  <c r="F630" i="3"/>
  <c r="L146" i="82" s="1"/>
  <c r="F629" i="3"/>
  <c r="G146" i="82" s="1"/>
  <c r="F628" i="3"/>
  <c r="F627" i="3"/>
  <c r="G145" i="82" s="1"/>
  <c r="F626" i="3"/>
  <c r="Q144" i="82" s="1"/>
  <c r="F625" i="3"/>
  <c r="K144" i="82" s="1"/>
  <c r="F624" i="3"/>
  <c r="G144" i="82" s="1"/>
  <c r="F623" i="3"/>
  <c r="F620" i="3"/>
  <c r="J142" i="82" s="1"/>
  <c r="F619" i="3"/>
  <c r="G141" i="82" s="1"/>
  <c r="F618" i="3"/>
  <c r="G139" i="82" s="1"/>
  <c r="F617" i="3"/>
  <c r="H138" i="82" s="1"/>
  <c r="F616" i="3"/>
  <c r="G137" i="82" s="1"/>
  <c r="F615" i="3"/>
  <c r="R136" i="82" s="1"/>
  <c r="F614" i="3"/>
  <c r="L136" i="82" s="1"/>
  <c r="F613" i="3"/>
  <c r="G136" i="82" s="1"/>
  <c r="F612" i="3"/>
  <c r="F611" i="3"/>
  <c r="G135" i="82" s="1"/>
  <c r="F610" i="3"/>
  <c r="Q134" i="82" s="1"/>
  <c r="F609" i="3"/>
  <c r="K134" i="82" s="1"/>
  <c r="F608" i="3"/>
  <c r="G134" i="82" s="1"/>
  <c r="F607" i="3"/>
  <c r="F604" i="3"/>
  <c r="J132" i="82" s="1"/>
  <c r="F603" i="3"/>
  <c r="G131" i="82" s="1"/>
  <c r="F602" i="3"/>
  <c r="F601" i="3"/>
  <c r="H128" i="82" s="1"/>
  <c r="F600" i="3"/>
  <c r="G127" i="82" s="1"/>
  <c r="F599" i="3"/>
  <c r="R126" i="82" s="1"/>
  <c r="F598" i="3"/>
  <c r="L126" i="82" s="1"/>
  <c r="F597" i="3"/>
  <c r="G126" i="82" s="1"/>
  <c r="F596" i="3"/>
  <c r="F595" i="3"/>
  <c r="G125" i="82" s="1"/>
  <c r="F594" i="3"/>
  <c r="Q124" i="82" s="1"/>
  <c r="F593" i="3"/>
  <c r="K124" i="82" s="1"/>
  <c r="F592" i="3"/>
  <c r="G124" i="82" s="1"/>
  <c r="F591" i="3"/>
  <c r="F588" i="3"/>
  <c r="J121" i="82" s="1"/>
  <c r="F587" i="3"/>
  <c r="G33" i="97" s="1"/>
  <c r="F586" i="3"/>
  <c r="G118" i="82" s="1"/>
  <c r="F585" i="3"/>
  <c r="F584" i="3"/>
  <c r="H117" i="82" s="1"/>
  <c r="F583" i="3"/>
  <c r="G116" i="82" s="1"/>
  <c r="F582" i="3"/>
  <c r="R115" i="82" s="1"/>
  <c r="F581" i="3"/>
  <c r="L115" i="82" s="1"/>
  <c r="F580" i="3"/>
  <c r="G115" i="82" s="1"/>
  <c r="F579" i="3"/>
  <c r="F578" i="3"/>
  <c r="G27" i="91" s="1"/>
  <c r="F577" i="3"/>
  <c r="Q113" i="82" s="1"/>
  <c r="F576" i="3"/>
  <c r="K113" i="82" s="1"/>
  <c r="F575" i="3"/>
  <c r="G113" i="82" s="1"/>
  <c r="F574" i="3"/>
  <c r="F571" i="3"/>
  <c r="F570" i="3"/>
  <c r="F569" i="3"/>
  <c r="F568" i="3"/>
  <c r="F567" i="3"/>
  <c r="F566" i="3"/>
  <c r="F565" i="3"/>
  <c r="F563" i="3"/>
  <c r="F562" i="3"/>
  <c r="F561" i="3"/>
  <c r="F560" i="3"/>
  <c r="F559" i="3"/>
  <c r="F558" i="3"/>
  <c r="F557" i="3"/>
  <c r="F554" i="3"/>
  <c r="F553" i="3"/>
  <c r="F552" i="3"/>
  <c r="F551" i="3"/>
  <c r="F550" i="3"/>
  <c r="F549" i="3"/>
  <c r="F548" i="3"/>
  <c r="F545" i="3"/>
  <c r="F544" i="3"/>
  <c r="F543" i="3"/>
  <c r="F542" i="3"/>
  <c r="F541" i="3"/>
  <c r="F540" i="3"/>
  <c r="F539" i="3"/>
  <c r="F536" i="3"/>
  <c r="F535" i="3"/>
  <c r="F534" i="3"/>
  <c r="F533" i="3"/>
  <c r="F532" i="3"/>
  <c r="F531" i="3"/>
  <c r="F530" i="3"/>
  <c r="F526" i="3"/>
  <c r="F525" i="3"/>
  <c r="F524" i="3"/>
  <c r="F523" i="3"/>
  <c r="F522" i="3"/>
  <c r="F521" i="3"/>
  <c r="F520" i="3"/>
  <c r="F519" i="3"/>
  <c r="F518" i="3"/>
  <c r="F517" i="3"/>
  <c r="F514" i="3"/>
  <c r="F513" i="3"/>
  <c r="F512" i="3"/>
  <c r="F511" i="3"/>
  <c r="F510" i="3"/>
  <c r="F509" i="3"/>
  <c r="F508" i="3"/>
  <c r="F507" i="3"/>
  <c r="F506" i="3"/>
  <c r="F505" i="3"/>
  <c r="F502" i="3"/>
  <c r="F501" i="3"/>
  <c r="F500" i="3"/>
  <c r="F499" i="3"/>
  <c r="F498" i="3"/>
  <c r="F497" i="3"/>
  <c r="F496" i="3"/>
  <c r="F495" i="3"/>
  <c r="F494" i="3"/>
  <c r="F493" i="3"/>
  <c r="F490" i="3"/>
  <c r="F489" i="3"/>
  <c r="F488" i="3"/>
  <c r="F487" i="3"/>
  <c r="F486" i="3"/>
  <c r="F485" i="3"/>
  <c r="F484" i="3"/>
  <c r="F483" i="3"/>
  <c r="F482" i="3"/>
  <c r="F481" i="3"/>
  <c r="F477" i="3"/>
  <c r="F476" i="3"/>
  <c r="F475" i="3"/>
  <c r="F474" i="3"/>
  <c r="F473" i="3"/>
  <c r="F472" i="3"/>
  <c r="F471" i="3"/>
  <c r="F470" i="3"/>
  <c r="F469" i="3"/>
  <c r="F468" i="3"/>
  <c r="F467" i="3"/>
  <c r="F466" i="3"/>
  <c r="F465" i="3"/>
  <c r="F464" i="3"/>
  <c r="F463" i="3"/>
  <c r="F460" i="3"/>
  <c r="F459" i="3"/>
  <c r="F458" i="3"/>
  <c r="F457" i="3"/>
  <c r="F456" i="3"/>
  <c r="F455" i="3"/>
  <c r="F454" i="3"/>
  <c r="F453" i="3"/>
  <c r="F452" i="3"/>
  <c r="F451" i="3"/>
  <c r="F450" i="3"/>
  <c r="F449" i="3"/>
  <c r="F448" i="3"/>
  <c r="F447" i="3"/>
  <c r="F446" i="3"/>
  <c r="F443" i="3"/>
  <c r="F442" i="3"/>
  <c r="F441" i="3"/>
  <c r="F440" i="3"/>
  <c r="F439" i="3"/>
  <c r="F438" i="3"/>
  <c r="F437" i="3"/>
  <c r="F436" i="3"/>
  <c r="F435" i="3"/>
  <c r="F434" i="3"/>
  <c r="F433" i="3"/>
  <c r="F432" i="3"/>
  <c r="F431" i="3"/>
  <c r="F430" i="3"/>
  <c r="F429" i="3"/>
  <c r="F426" i="3"/>
  <c r="F425" i="3"/>
  <c r="F424" i="3"/>
  <c r="F423" i="3"/>
  <c r="F422" i="3"/>
  <c r="F421" i="3"/>
  <c r="F420" i="3"/>
  <c r="F419" i="3"/>
  <c r="F418" i="3"/>
  <c r="F417" i="3"/>
  <c r="F416" i="3"/>
  <c r="F415" i="3"/>
  <c r="F414" i="3"/>
  <c r="F413" i="3"/>
  <c r="F412" i="3"/>
  <c r="F409" i="3"/>
  <c r="F408" i="3"/>
  <c r="F407" i="3"/>
  <c r="F406" i="3"/>
  <c r="F405" i="3"/>
  <c r="F404" i="3"/>
  <c r="F403" i="3"/>
  <c r="F402" i="3"/>
  <c r="F401" i="3"/>
  <c r="F400" i="3"/>
  <c r="F399" i="3"/>
  <c r="F398" i="3"/>
  <c r="F397" i="3"/>
  <c r="F396" i="3"/>
  <c r="F395" i="3"/>
  <c r="F392" i="3"/>
  <c r="F391" i="3"/>
  <c r="F390" i="3"/>
  <c r="F389" i="3"/>
  <c r="F388" i="3"/>
  <c r="F387" i="3"/>
  <c r="F386" i="3"/>
  <c r="F385" i="3"/>
  <c r="F384" i="3"/>
  <c r="F383" i="3"/>
  <c r="F382" i="3"/>
  <c r="F381" i="3"/>
  <c r="F380" i="3"/>
  <c r="F379" i="3"/>
  <c r="F378" i="3"/>
  <c r="F375" i="3"/>
  <c r="F374" i="3"/>
  <c r="F373" i="3"/>
  <c r="F372" i="3"/>
  <c r="F371" i="3"/>
  <c r="F370" i="3"/>
  <c r="F369" i="3"/>
  <c r="F368" i="3"/>
  <c r="F367" i="3"/>
  <c r="F366" i="3"/>
  <c r="F365" i="3"/>
  <c r="F364" i="3"/>
  <c r="F363" i="3"/>
  <c r="F362" i="3"/>
  <c r="F361" i="3"/>
  <c r="F358" i="3"/>
  <c r="F357" i="3"/>
  <c r="F356" i="3"/>
  <c r="F355" i="3"/>
  <c r="F354" i="3"/>
  <c r="F353" i="3"/>
  <c r="F352" i="3"/>
  <c r="F351" i="3"/>
  <c r="F350" i="3"/>
  <c r="F349" i="3"/>
  <c r="F348" i="3"/>
  <c r="F347" i="3"/>
  <c r="F346" i="3"/>
  <c r="F345" i="3"/>
  <c r="F344" i="3"/>
  <c r="F341" i="3"/>
  <c r="J109" i="82" s="1"/>
  <c r="F340" i="3"/>
  <c r="G108" i="82" s="1"/>
  <c r="F339" i="3"/>
  <c r="G106" i="82" s="1"/>
  <c r="F338" i="3"/>
  <c r="H105" i="82" s="1"/>
  <c r="F337" i="3"/>
  <c r="F336" i="3"/>
  <c r="G104" i="82" s="1"/>
  <c r="F335" i="3"/>
  <c r="R103" i="82" s="1"/>
  <c r="F334" i="3"/>
  <c r="L103" i="82" s="1"/>
  <c r="F333" i="3"/>
  <c r="G103" i="82" s="1"/>
  <c r="F332" i="3"/>
  <c r="F331" i="3"/>
  <c r="G102" i="82" s="1"/>
  <c r="F330" i="3"/>
  <c r="Q101" i="82" s="1"/>
  <c r="F329" i="3"/>
  <c r="K101" i="82" s="1"/>
  <c r="F328" i="3"/>
  <c r="G101" i="82" s="1"/>
  <c r="F327" i="3"/>
  <c r="F324" i="3"/>
  <c r="J99" i="82" s="1"/>
  <c r="F323" i="3"/>
  <c r="G98" i="82" s="1"/>
  <c r="F322" i="3"/>
  <c r="G96" i="82" s="1"/>
  <c r="F321" i="3"/>
  <c r="H95" i="82" s="1"/>
  <c r="F320" i="3"/>
  <c r="F319" i="3"/>
  <c r="G94" i="82" s="1"/>
  <c r="F318" i="3"/>
  <c r="R93" i="82" s="1"/>
  <c r="F317" i="3"/>
  <c r="L93" i="82" s="1"/>
  <c r="F316" i="3"/>
  <c r="G93" i="82" s="1"/>
  <c r="F315" i="3"/>
  <c r="F314" i="3"/>
  <c r="G92" i="82" s="1"/>
  <c r="F313" i="3"/>
  <c r="Q91" i="82" s="1"/>
  <c r="F312" i="3"/>
  <c r="K91" i="82" s="1"/>
  <c r="F311" i="3"/>
  <c r="G91" i="82" s="1"/>
  <c r="F310" i="3"/>
  <c r="F307" i="3"/>
  <c r="J89" i="82" s="1"/>
  <c r="F306" i="3"/>
  <c r="G88" i="82" s="1"/>
  <c r="F305" i="3"/>
  <c r="G86" i="82" s="1"/>
  <c r="F304" i="3"/>
  <c r="H85" i="82" s="1"/>
  <c r="F303" i="3"/>
  <c r="F302" i="3"/>
  <c r="G84" i="82" s="1"/>
  <c r="F301" i="3"/>
  <c r="R83" i="82" s="1"/>
  <c r="F300" i="3"/>
  <c r="L83" i="82" s="1"/>
  <c r="F299" i="3"/>
  <c r="G83" i="82" s="1"/>
  <c r="F298" i="3"/>
  <c r="F297" i="3"/>
  <c r="G82" i="82" s="1"/>
  <c r="F296" i="3"/>
  <c r="Q81" i="82" s="1"/>
  <c r="F295" i="3"/>
  <c r="K81" i="82" s="1"/>
  <c r="F294" i="3"/>
  <c r="G81" i="82" s="1"/>
  <c r="F293" i="3"/>
  <c r="F290" i="3"/>
  <c r="J78" i="82" s="1"/>
  <c r="F289" i="3"/>
  <c r="H29" i="77" s="1"/>
  <c r="F288" i="3"/>
  <c r="F287" i="3"/>
  <c r="H74" i="82" s="1"/>
  <c r="F286" i="3"/>
  <c r="F285" i="3"/>
  <c r="G73" i="82" s="1"/>
  <c r="F284" i="3"/>
  <c r="R72" i="82" s="1"/>
  <c r="F283" i="3"/>
  <c r="L72" i="82" s="1"/>
  <c r="F282" i="3"/>
  <c r="G72" i="82" s="1"/>
  <c r="F281" i="3"/>
  <c r="F280" i="3"/>
  <c r="C4" i="78" s="1"/>
  <c r="F279" i="3"/>
  <c r="F278" i="3"/>
  <c r="L25" i="77" s="1"/>
  <c r="F277" i="3"/>
  <c r="F276" i="3"/>
  <c r="F273" i="3"/>
  <c r="F272" i="3"/>
  <c r="F271" i="3"/>
  <c r="F270" i="3"/>
  <c r="F269" i="3"/>
  <c r="F268" i="3"/>
  <c r="F267" i="3"/>
  <c r="F266" i="3"/>
  <c r="F265" i="3"/>
  <c r="F264" i="3"/>
  <c r="F263" i="3"/>
  <c r="F262" i="3"/>
  <c r="F261" i="3"/>
  <c r="F260" i="3"/>
  <c r="F259" i="3"/>
  <c r="F258" i="3"/>
  <c r="F255" i="3"/>
  <c r="F254" i="3"/>
  <c r="F253" i="3"/>
  <c r="F252" i="3"/>
  <c r="F251" i="3"/>
  <c r="F250" i="3"/>
  <c r="F249" i="3"/>
  <c r="F248" i="3"/>
  <c r="F247" i="3"/>
  <c r="F246" i="3"/>
  <c r="F245" i="3"/>
  <c r="F244" i="3"/>
  <c r="F243" i="3"/>
  <c r="F242" i="3"/>
  <c r="F241" i="3"/>
  <c r="F240" i="3"/>
  <c r="F237" i="3"/>
  <c r="F236" i="3"/>
  <c r="F235" i="3"/>
  <c r="F234" i="3"/>
  <c r="F233" i="3"/>
  <c r="F232" i="3"/>
  <c r="F231" i="3"/>
  <c r="F230" i="3"/>
  <c r="F229" i="3"/>
  <c r="F228" i="3"/>
  <c r="F227" i="3"/>
  <c r="F226" i="3"/>
  <c r="F225" i="3"/>
  <c r="F224" i="3"/>
  <c r="F223" i="3"/>
  <c r="F222" i="3"/>
  <c r="F219" i="3"/>
  <c r="F218" i="3"/>
  <c r="F217" i="3"/>
  <c r="F216" i="3"/>
  <c r="F215" i="3"/>
  <c r="F214" i="3"/>
  <c r="F213" i="3"/>
  <c r="F212" i="3"/>
  <c r="F211" i="3"/>
  <c r="F210" i="3"/>
  <c r="F209" i="3"/>
  <c r="F208" i="3"/>
  <c r="F207" i="3"/>
  <c r="F206" i="3"/>
  <c r="F205" i="3"/>
  <c r="F204" i="3"/>
  <c r="F201" i="3"/>
  <c r="F200" i="3"/>
  <c r="F199" i="3"/>
  <c r="G66" i="82" s="1"/>
  <c r="F198" i="3"/>
  <c r="H24" i="78" s="1"/>
  <c r="F197" i="3"/>
  <c r="H63" i="82" s="1"/>
  <c r="F196" i="3"/>
  <c r="C118" i="89" s="1"/>
  <c r="F195" i="3"/>
  <c r="R61" i="82" s="1"/>
  <c r="F194" i="3"/>
  <c r="L61" i="82" s="1"/>
  <c r="F193" i="3"/>
  <c r="G61" i="82" s="1"/>
  <c r="F192" i="3"/>
  <c r="F191" i="3"/>
  <c r="F190" i="3"/>
  <c r="C119" i="89" s="1"/>
  <c r="F189" i="3"/>
  <c r="Q59" i="82" s="1"/>
  <c r="F188" i="3"/>
  <c r="K59" i="82" s="1"/>
  <c r="F187" i="3"/>
  <c r="G59" i="82" s="1"/>
  <c r="F186" i="3"/>
  <c r="F183" i="3"/>
  <c r="F182" i="3"/>
  <c r="F181" i="3"/>
  <c r="F180" i="3"/>
  <c r="F179" i="3"/>
  <c r="F178" i="3"/>
  <c r="F177" i="3"/>
  <c r="F176" i="3"/>
  <c r="F175" i="3"/>
  <c r="F172" i="3"/>
  <c r="F171" i="3"/>
  <c r="F170" i="3"/>
  <c r="F169" i="3"/>
  <c r="F168" i="3"/>
  <c r="F167" i="3"/>
  <c r="F166" i="3"/>
  <c r="F165" i="3"/>
  <c r="F164" i="3"/>
  <c r="F161" i="3"/>
  <c r="F160" i="3"/>
  <c r="F159" i="3"/>
  <c r="F150" i="3" s="1"/>
  <c r="F158" i="3"/>
  <c r="F157" i="3"/>
  <c r="F156" i="3"/>
  <c r="F155" i="3"/>
  <c r="F154" i="3"/>
  <c r="F153" i="3"/>
  <c r="F149" i="3"/>
  <c r="F148" i="3"/>
  <c r="F147" i="3"/>
  <c r="F146" i="3"/>
  <c r="F145" i="3"/>
  <c r="F144" i="3"/>
  <c r="F143" i="3"/>
  <c r="F142" i="3"/>
  <c r="F141" i="3"/>
  <c r="F137" i="3"/>
  <c r="F136" i="3"/>
  <c r="F135" i="3"/>
  <c r="F134" i="3"/>
  <c r="F133" i="3"/>
  <c r="F138" i="3" s="1"/>
  <c r="F132" i="3"/>
  <c r="F131" i="3"/>
  <c r="F130" i="3"/>
  <c r="F129" i="3"/>
  <c r="F126" i="3"/>
  <c r="C156" i="89" s="1"/>
  <c r="V156" i="89" s="1"/>
  <c r="F124" i="3"/>
  <c r="G236" i="82" s="1"/>
  <c r="F123" i="3"/>
  <c r="C154" i="89" s="1"/>
  <c r="F122" i="3"/>
  <c r="H233" i="82" s="1"/>
  <c r="F121" i="3"/>
  <c r="G230" i="82" s="1"/>
  <c r="F120" i="3"/>
  <c r="G77" i="89" s="1"/>
  <c r="F119" i="3"/>
  <c r="F118" i="3"/>
  <c r="F117" i="3"/>
  <c r="F116" i="3"/>
  <c r="C155" i="89" s="1"/>
  <c r="F113" i="3"/>
  <c r="Q20" i="94" s="1"/>
  <c r="F111" i="3"/>
  <c r="G73" i="89" s="1"/>
  <c r="F110" i="3"/>
  <c r="G231" i="91" s="1"/>
  <c r="F109" i="3"/>
  <c r="H70" i="89" s="1"/>
  <c r="F108" i="3"/>
  <c r="G67" i="89" s="1"/>
  <c r="F107" i="3"/>
  <c r="G222" i="82" s="1"/>
  <c r="F106" i="3"/>
  <c r="F105" i="3"/>
  <c r="F104" i="3"/>
  <c r="F103" i="3"/>
  <c r="Q19" i="87" s="1"/>
  <c r="F99" i="3"/>
  <c r="Q18" i="94" s="1"/>
  <c r="F97" i="3"/>
  <c r="G225" i="91" s="1"/>
  <c r="F96" i="3"/>
  <c r="C38" i="74" s="1"/>
  <c r="F95" i="3"/>
  <c r="H215" i="82" s="1"/>
  <c r="F94" i="3"/>
  <c r="G129" i="82" s="1"/>
  <c r="F93" i="3"/>
  <c r="G213" i="82" s="1"/>
  <c r="F92" i="3"/>
  <c r="F91" i="3"/>
  <c r="F90" i="3"/>
  <c r="F89" i="3"/>
  <c r="Q15" i="92" s="1"/>
  <c r="F84" i="3"/>
  <c r="C36" i="74" s="1"/>
  <c r="F82" i="3"/>
  <c r="G17" i="91" s="1"/>
  <c r="F81" i="3"/>
  <c r="Q11" i="89" s="1"/>
  <c r="F80" i="3"/>
  <c r="F79" i="3"/>
  <c r="H53" i="82" s="1"/>
  <c r="F76" i="3"/>
  <c r="G50" i="82" s="1"/>
  <c r="F75" i="3"/>
  <c r="G51" i="82" s="1"/>
  <c r="F74" i="3"/>
  <c r="F73" i="3"/>
  <c r="F72" i="3"/>
  <c r="F71" i="3"/>
  <c r="Q15" i="94" s="1"/>
  <c r="F68" i="3"/>
  <c r="F65" i="3"/>
  <c r="F58" i="3"/>
  <c r="F57" i="3"/>
  <c r="F56" i="3"/>
  <c r="F55" i="3"/>
  <c r="F53" i="3"/>
  <c r="F51" i="3"/>
  <c r="F50" i="3"/>
  <c r="F49" i="3"/>
  <c r="F48" i="3"/>
  <c r="F45" i="3"/>
  <c r="F43" i="3"/>
  <c r="F41" i="3"/>
  <c r="F40" i="3"/>
  <c r="F38" i="3"/>
  <c r="F36" i="3"/>
  <c r="F33" i="3"/>
  <c r="F32" i="3"/>
  <c r="F24" i="3"/>
  <c r="F1249" i="3" s="1"/>
  <c r="F21" i="3"/>
  <c r="F20" i="3"/>
  <c r="F19" i="3"/>
  <c r="F18" i="3"/>
  <c r="F17" i="3"/>
  <c r="F13" i="3"/>
  <c r="F16" i="3" s="1"/>
  <c r="F12" i="3"/>
  <c r="F11" i="3"/>
  <c r="F9" i="3"/>
  <c r="N2" i="1" s="1"/>
  <c r="F7" i="3"/>
  <c r="D18" i="90"/>
  <c r="C18" i="90" s="1"/>
  <c r="B18" i="90" s="1"/>
  <c r="B50" i="1"/>
  <c r="D15" i="1"/>
  <c r="D14" i="1"/>
  <c r="D13" i="1"/>
  <c r="D12" i="1"/>
  <c r="D11" i="1"/>
  <c r="B11" i="1" s="1"/>
  <c r="D10" i="1"/>
  <c r="B10" i="1" s="1"/>
  <c r="G166" i="85"/>
  <c r="G58" i="92"/>
  <c r="G58" i="85"/>
  <c r="G166" i="92"/>
  <c r="G2" i="1" l="1"/>
  <c r="K2" i="1"/>
  <c r="H31" i="76"/>
  <c r="F77" i="3"/>
  <c r="N100" i="91"/>
  <c r="F847" i="3"/>
  <c r="C35" i="74"/>
  <c r="Q17" i="84"/>
  <c r="F86" i="3"/>
  <c r="Q17" i="87"/>
  <c r="F62" i="3"/>
  <c r="F78" i="3"/>
  <c r="G33" i="91"/>
  <c r="T103" i="91"/>
  <c r="Q13" i="92"/>
  <c r="Q17" i="93"/>
  <c r="G23" i="97"/>
  <c r="G76" i="89"/>
  <c r="C48" i="74"/>
  <c r="V48" i="74" s="1"/>
  <c r="M27" i="77"/>
  <c r="H2" i="1"/>
  <c r="L2" i="1"/>
  <c r="E10" i="1"/>
  <c r="F85" i="3"/>
  <c r="F827" i="3"/>
  <c r="F843" i="3"/>
  <c r="G58" i="89"/>
  <c r="F1137" i="3"/>
  <c r="Q19" i="86"/>
  <c r="I2" i="1"/>
  <c r="M2" i="1"/>
  <c r="E47" i="1" s="1"/>
  <c r="D47" i="1" s="1"/>
  <c r="B47" i="1" s="1"/>
  <c r="F828" i="3"/>
  <c r="H14" i="91"/>
  <c r="F68" i="91"/>
  <c r="H100" i="97"/>
  <c r="G233" i="97"/>
  <c r="G120" i="82"/>
  <c r="Q17" i="99"/>
  <c r="E11" i="1"/>
  <c r="J2" i="1"/>
  <c r="H26" i="78"/>
  <c r="H25" i="77"/>
  <c r="C10" i="74"/>
  <c r="C40" i="74"/>
  <c r="V40" i="74" s="1"/>
  <c r="C44" i="74"/>
  <c r="V44" i="74" s="1"/>
  <c r="G20" i="91"/>
  <c r="G15" i="97"/>
  <c r="H30" i="97"/>
  <c r="T105" i="97"/>
  <c r="G223" i="97"/>
  <c r="L26" i="78"/>
  <c r="H31" i="78"/>
  <c r="G62" i="82"/>
  <c r="H224" i="82"/>
  <c r="H61" i="89"/>
  <c r="C143" i="89"/>
  <c r="C152" i="89"/>
  <c r="V152" i="89" s="1"/>
  <c r="C11" i="74"/>
  <c r="H22" i="91"/>
  <c r="G28" i="91"/>
  <c r="I57" i="91"/>
  <c r="T100" i="91"/>
  <c r="H105" i="91"/>
  <c r="G223" i="91"/>
  <c r="H230" i="91"/>
  <c r="H238" i="91"/>
  <c r="G19" i="97"/>
  <c r="G25" i="97"/>
  <c r="G31" i="97"/>
  <c r="I58" i="97"/>
  <c r="H238" i="97"/>
  <c r="H23" i="77"/>
  <c r="H28" i="77"/>
  <c r="H27" i="78"/>
  <c r="G54" i="82"/>
  <c r="G64" i="82"/>
  <c r="G212" i="82"/>
  <c r="G218" i="82"/>
  <c r="G227" i="82"/>
  <c r="H28" i="83"/>
  <c r="Q19" i="84"/>
  <c r="Q19" i="99"/>
  <c r="Q13" i="85"/>
  <c r="Q19" i="93"/>
  <c r="G64" i="89"/>
  <c r="H79" i="89"/>
  <c r="C146" i="89"/>
  <c r="Q13" i="78"/>
  <c r="Q15" i="76"/>
  <c r="C142" i="89"/>
  <c r="Q15" i="83"/>
  <c r="Q18" i="87"/>
  <c r="Q18" i="86"/>
  <c r="Q16" i="92"/>
  <c r="Q18" i="99"/>
  <c r="Q18" i="84"/>
  <c r="Q18" i="93"/>
  <c r="Q16" i="85"/>
  <c r="G80" i="89"/>
  <c r="G239" i="97"/>
  <c r="Q13" i="89"/>
  <c r="G56" i="82"/>
  <c r="Q21" i="78"/>
  <c r="F100" i="3"/>
  <c r="H28" i="78"/>
  <c r="H27" i="77"/>
  <c r="J29" i="99"/>
  <c r="J29" i="84"/>
  <c r="B22" i="94"/>
  <c r="F83" i="3"/>
  <c r="C147" i="89"/>
  <c r="Q17" i="94"/>
  <c r="Q19" i="94"/>
  <c r="C151" i="89"/>
  <c r="F125" i="3"/>
  <c r="R26" i="78"/>
  <c r="R25" i="77"/>
  <c r="G114" i="82"/>
  <c r="Q31" i="82"/>
  <c r="O107" i="97"/>
  <c r="H29" i="76"/>
  <c r="B13" i="70"/>
  <c r="B13" i="71"/>
  <c r="B13" i="72"/>
  <c r="I9" i="101"/>
  <c r="D27" i="74"/>
  <c r="C42" i="74"/>
  <c r="C46" i="74"/>
  <c r="G15" i="91"/>
  <c r="G23" i="91"/>
  <c r="H30" i="91"/>
  <c r="H98" i="91"/>
  <c r="N105" i="91"/>
  <c r="G239" i="91"/>
  <c r="H14" i="97"/>
  <c r="G20" i="97"/>
  <c r="G27" i="97"/>
  <c r="F68" i="97"/>
  <c r="N103" i="97"/>
  <c r="H222" i="97"/>
  <c r="G225" i="97"/>
  <c r="G241" i="97"/>
  <c r="Q9" i="77"/>
  <c r="H23" i="78"/>
  <c r="M28" i="78"/>
  <c r="G36" i="79"/>
  <c r="G60" i="82"/>
  <c r="G70" i="82"/>
  <c r="G231" i="82"/>
  <c r="B22" i="84"/>
  <c r="B22" i="99"/>
  <c r="Q15" i="85"/>
  <c r="B33" i="85"/>
  <c r="Q17" i="92"/>
  <c r="Q15" i="86"/>
  <c r="B22" i="87"/>
  <c r="G59" i="89"/>
  <c r="G68" i="89"/>
  <c r="G82" i="89"/>
  <c r="C148" i="89"/>
  <c r="V148" i="89" s="1"/>
  <c r="Q20" i="93"/>
  <c r="Q18" i="85"/>
  <c r="Q20" i="87"/>
  <c r="Q20" i="86"/>
  <c r="Q18" i="92"/>
  <c r="Q20" i="99"/>
  <c r="Q20" i="84"/>
  <c r="G62" i="89"/>
  <c r="G216" i="82"/>
  <c r="G225" i="82"/>
  <c r="G231" i="97"/>
  <c r="K70" i="82"/>
  <c r="K36" i="79"/>
  <c r="N30" i="76"/>
  <c r="H103" i="97"/>
  <c r="F15" i="3"/>
  <c r="C144" i="89"/>
  <c r="Q16" i="93"/>
  <c r="Q14" i="85"/>
  <c r="Q16" i="87"/>
  <c r="Q16" i="86"/>
  <c r="Q14" i="92"/>
  <c r="Q16" i="99"/>
  <c r="Q16" i="84"/>
  <c r="F98" i="3"/>
  <c r="F112" i="3"/>
  <c r="G71" i="82"/>
  <c r="G37" i="79"/>
  <c r="S28" i="78"/>
  <c r="S27" i="77"/>
  <c r="G75" i="82"/>
  <c r="H30" i="78"/>
  <c r="F775" i="3"/>
  <c r="F266" i="82"/>
  <c r="H32" i="78"/>
  <c r="I9" i="102"/>
  <c r="C34" i="74"/>
  <c r="C39" i="74"/>
  <c r="C43" i="74"/>
  <c r="C47" i="74"/>
  <c r="G19" i="91"/>
  <c r="G25" i="91"/>
  <c r="G31" i="91"/>
  <c r="H222" i="91"/>
  <c r="G233" i="91"/>
  <c r="G241" i="91"/>
  <c r="G17" i="97"/>
  <c r="H22" i="97"/>
  <c r="G28" i="97"/>
  <c r="H230" i="97"/>
  <c r="H28" i="76"/>
  <c r="H26" i="77"/>
  <c r="H25" i="78"/>
  <c r="H29" i="78"/>
  <c r="Q36" i="79"/>
  <c r="Q70" i="82"/>
  <c r="G77" i="82"/>
  <c r="G221" i="82"/>
  <c r="G234" i="82"/>
  <c r="Q15" i="84"/>
  <c r="Q15" i="99"/>
  <c r="Q17" i="85"/>
  <c r="B33" i="92"/>
  <c r="Q15" i="93"/>
  <c r="Q17" i="86"/>
  <c r="Q15" i="87"/>
  <c r="Q16" i="94"/>
  <c r="G71" i="89"/>
  <c r="C150" i="89"/>
  <c r="F25" i="3"/>
  <c r="F1255" i="3" s="1"/>
  <c r="F1196" i="3"/>
  <c r="F29" i="3"/>
  <c r="F1232" i="3"/>
  <c r="F1189" i="3"/>
  <c r="F1248" i="3"/>
  <c r="H18" i="90"/>
  <c r="G18" i="90"/>
  <c r="F18" i="90"/>
  <c r="E18" i="90"/>
  <c r="F27" i="3"/>
  <c r="F1199" i="3"/>
  <c r="F1234" i="3"/>
  <c r="F1246" i="3"/>
  <c r="F14" i="3"/>
  <c r="F28" i="3"/>
  <c r="F60" i="3"/>
  <c r="F1195" i="3"/>
  <c r="F1231" i="3"/>
  <c r="F1235" i="3"/>
  <c r="F1247" i="3"/>
  <c r="F1294" i="3"/>
  <c r="F26" i="3"/>
  <c r="F30" i="3"/>
  <c r="F63" i="3"/>
  <c r="F1192" i="3"/>
  <c r="F1197" i="3"/>
  <c r="F1233" i="3"/>
  <c r="F1245" i="3"/>
  <c r="E16" i="1" l="1"/>
  <c r="D16" i="1" s="1"/>
  <c r="B16" i="1" s="1"/>
  <c r="E30" i="1"/>
  <c r="D30" i="1" s="1"/>
  <c r="B30" i="1" s="1"/>
  <c r="E17" i="1"/>
  <c r="D17" i="1" s="1"/>
  <c r="B17" i="1" s="1"/>
  <c r="E48" i="1"/>
  <c r="D48" i="1" s="1"/>
  <c r="B48" i="1" s="1"/>
  <c r="E32" i="1"/>
  <c r="D32" i="1" s="1"/>
  <c r="B32" i="1" s="1"/>
  <c r="E31" i="1"/>
  <c r="D31" i="1" s="1"/>
  <c r="B31" i="1" s="1"/>
  <c r="E33" i="1"/>
  <c r="D33" i="1" s="1"/>
  <c r="B33" i="1" s="1"/>
  <c r="E45" i="1"/>
  <c r="D45" i="1" s="1"/>
  <c r="B45" i="1" s="1"/>
  <c r="E19" i="1"/>
  <c r="D19" i="1" s="1"/>
  <c r="B19" i="1" s="1"/>
  <c r="E44" i="1"/>
  <c r="D44" i="1" s="1"/>
  <c r="B44" i="1" s="1"/>
  <c r="E28" i="1"/>
  <c r="D28" i="1" s="1"/>
  <c r="B28" i="1" s="1"/>
  <c r="E23" i="1"/>
  <c r="D23" i="1" s="1"/>
  <c r="B23" i="1" s="1"/>
  <c r="E35" i="1"/>
  <c r="D35" i="1" s="1"/>
  <c r="B35" i="1" s="1"/>
  <c r="E18" i="1"/>
  <c r="D18" i="1" s="1"/>
  <c r="B18" i="1" s="1"/>
  <c r="E38" i="1"/>
  <c r="D38" i="1" s="1"/>
  <c r="B38" i="1" s="1"/>
  <c r="E21" i="1"/>
  <c r="D21" i="1" s="1"/>
  <c r="B21" i="1" s="1"/>
  <c r="E37" i="1"/>
  <c r="D37" i="1" s="1"/>
  <c r="B37" i="1" s="1"/>
  <c r="E34" i="1"/>
  <c r="D34" i="1" s="1"/>
  <c r="B34" i="1" s="1"/>
  <c r="E39" i="1"/>
  <c r="D39" i="1" s="1"/>
  <c r="B39" i="1" s="1"/>
  <c r="E22" i="1"/>
  <c r="D22" i="1" s="1"/>
  <c r="B22" i="1" s="1"/>
  <c r="E42" i="1"/>
  <c r="D42" i="1" s="1"/>
  <c r="B42" i="1" s="1"/>
  <c r="E25" i="1"/>
  <c r="D25" i="1" s="1"/>
  <c r="B25" i="1" s="1"/>
  <c r="E41" i="1"/>
  <c r="D41" i="1" s="1"/>
  <c r="B41" i="1" s="1"/>
  <c r="E40" i="1"/>
  <c r="D40" i="1" s="1"/>
  <c r="B40" i="1" s="1"/>
  <c r="E24" i="1"/>
  <c r="D24" i="1" s="1"/>
  <c r="B24" i="1" s="1"/>
  <c r="E36" i="1"/>
  <c r="D36" i="1" s="1"/>
  <c r="B36" i="1" s="1"/>
  <c r="E20" i="1"/>
  <c r="D20" i="1" s="1"/>
  <c r="B20" i="1" s="1"/>
  <c r="E27" i="1"/>
  <c r="D27" i="1" s="1"/>
  <c r="B27" i="1" s="1"/>
  <c r="E43" i="1"/>
  <c r="D43" i="1" s="1"/>
  <c r="B43" i="1" s="1"/>
  <c r="E26" i="1"/>
  <c r="D26" i="1" s="1"/>
  <c r="B26" i="1" s="1"/>
  <c r="E46" i="1"/>
  <c r="D46" i="1" s="1"/>
  <c r="B46" i="1" s="1"/>
  <c r="E29" i="1"/>
  <c r="D29" i="1" s="1"/>
  <c r="B29" i="1" s="1"/>
  <c r="F1253" i="3"/>
  <c r="F1254" i="3"/>
  <c r="F1242" i="3"/>
  <c r="F1241" i="3"/>
  <c r="F1252" i="3"/>
  <c r="F1239" i="3"/>
  <c r="Q23" i="83"/>
  <c r="X23" i="83" s="1"/>
  <c r="G236" i="97"/>
  <c r="Q23" i="76"/>
  <c r="X23" i="76" s="1"/>
  <c r="G236" i="91"/>
  <c r="F1256" i="3"/>
  <c r="Q26" i="82"/>
  <c r="X26" i="82" s="1"/>
  <c r="Q19" i="78"/>
  <c r="X19" i="78" s="1"/>
  <c r="Q21" i="76"/>
  <c r="X21" i="76" s="1"/>
  <c r="G228" i="97"/>
  <c r="Q21" i="83"/>
  <c r="X21" i="83" s="1"/>
  <c r="Q15" i="77"/>
  <c r="X15" i="77" s="1"/>
  <c r="G228" i="91"/>
  <c r="D26" i="81"/>
  <c r="Q11" i="77"/>
  <c r="H27" i="76"/>
  <c r="Q9" i="89"/>
  <c r="H27" i="83"/>
  <c r="Q15" i="78"/>
  <c r="Q17" i="76"/>
  <c r="B14" i="72"/>
  <c r="B14" i="71"/>
  <c r="B14" i="70"/>
  <c r="G12" i="91"/>
  <c r="Q17" i="83"/>
  <c r="Q22" i="82"/>
  <c r="G12" i="97"/>
  <c r="Q19" i="83"/>
  <c r="X19" i="83" s="1"/>
  <c r="G220" i="97"/>
  <c r="Q24" i="82"/>
  <c r="X24" i="82" s="1"/>
  <c r="Q17" i="78"/>
  <c r="X17" i="78" s="1"/>
  <c r="Q19" i="76"/>
  <c r="X19" i="76" s="1"/>
  <c r="Q13" i="77"/>
  <c r="X13" i="77" s="1"/>
  <c r="G220" i="91"/>
  <c r="F1238" i="3"/>
  <c r="F1240" i="3"/>
  <c r="F1321" i="3"/>
  <c r="F1308" i="3"/>
  <c r="F1304" i="3"/>
  <c r="F1307" i="3"/>
  <c r="F1323" i="3"/>
  <c r="F1319" i="3"/>
  <c r="F1306" i="3"/>
  <c r="F1322" i="3"/>
  <c r="F1305" i="3"/>
  <c r="F1320" i="3"/>
  <c r="A6" i="89"/>
  <c r="A11" i="94"/>
  <c r="A10" i="78"/>
  <c r="A11" i="76"/>
  <c r="I37" i="97"/>
  <c r="O53" i="94"/>
  <c r="O53" i="87"/>
  <c r="O53" i="92"/>
  <c r="O53" i="85"/>
  <c r="O53" i="93"/>
  <c r="A11" i="93"/>
  <c r="O53" i="99"/>
  <c r="A11" i="83"/>
  <c r="I37" i="91"/>
  <c r="A9" i="88"/>
  <c r="A11" i="87"/>
  <c r="A11" i="86"/>
  <c r="A10" i="92"/>
  <c r="A11" i="99"/>
  <c r="A11" i="84"/>
  <c r="A6" i="77"/>
  <c r="O53" i="86"/>
  <c r="A10" i="85"/>
  <c r="O53" i="84"/>
  <c r="A14" i="82"/>
  <c r="H31" i="83"/>
  <c r="I284" i="82"/>
  <c r="O54" i="94"/>
  <c r="O54" i="86"/>
  <c r="O54" i="93"/>
  <c r="A12" i="93"/>
  <c r="A11" i="85"/>
  <c r="O54" i="99"/>
  <c r="O54" i="84"/>
  <c r="A12" i="83"/>
  <c r="A15" i="82"/>
  <c r="I38" i="97"/>
  <c r="I38" i="91"/>
  <c r="A10" i="88"/>
  <c r="A12" i="87"/>
  <c r="A12" i="86"/>
  <c r="A11" i="92"/>
  <c r="A12" i="99"/>
  <c r="A12" i="84"/>
  <c r="A7" i="77"/>
  <c r="O54" i="87"/>
  <c r="O54" i="85"/>
  <c r="A7" i="89"/>
  <c r="A12" i="94"/>
  <c r="A11" i="78"/>
  <c r="A12" i="76"/>
  <c r="O54" i="92"/>
  <c r="F1282" i="3"/>
  <c r="F1270" i="3"/>
  <c r="F1280" i="3"/>
  <c r="F1272" i="3"/>
  <c r="F1281" i="3"/>
  <c r="F1271" i="3"/>
  <c r="F1276" i="3"/>
  <c r="F1275" i="3"/>
  <c r="F1286" i="3"/>
  <c r="F1285" i="3"/>
  <c r="F1277" i="3"/>
  <c r="F128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g-tanaka</author>
    <author>r-matsuyama</author>
  </authors>
  <commentList>
    <comment ref="B9" authorId="0" shapeId="0" xr:uid="{C1FC5813-0880-4141-B436-CCE21D2F6ECA}">
      <text>
        <r>
          <rPr>
            <b/>
            <sz val="9"/>
            <color indexed="81"/>
            <rFont val="MS P ゴシック"/>
            <family val="3"/>
            <charset val="128"/>
          </rPr>
          <t>半角数字、“/”で区切る
例）1/1　2025/1/1</t>
        </r>
      </text>
    </comment>
    <comment ref="AA64" authorId="1" shapeId="0" xr:uid="{25E6C7CB-8F0A-4DDF-9D2F-1F3BF3828EDD}">
      <text>
        <r>
          <rPr>
            <sz val="9"/>
            <color indexed="81"/>
            <rFont val="MS P ゴシック"/>
            <family val="3"/>
            <charset val="128"/>
          </rPr>
          <t xml:space="preserve">何回目の検査なのか、回数を記入
</t>
        </r>
      </text>
    </comment>
    <comment ref="AA66" authorId="1" shapeId="0" xr:uid="{8C055FB8-4CCA-4B88-811E-C13F48EFF54F}">
      <text>
        <r>
          <rPr>
            <sz val="9"/>
            <color indexed="81"/>
            <rFont val="MS P ゴシック"/>
            <family val="3"/>
            <charset val="128"/>
          </rPr>
          <t xml:space="preserve">何回目の検査なのか、回数を記入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16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1600-000002000000}">
      <text>
        <r>
          <rPr>
            <b/>
            <sz val="9"/>
            <color indexed="81"/>
            <rFont val="MS P ゴシック"/>
            <charset val="128"/>
          </rPr>
          <t>【出力先】
第二面
建築主
会社名＋役職＋氏名</t>
        </r>
      </text>
    </comment>
    <comment ref="Q19" authorId="0" shapeId="0" xr:uid="{00000000-0006-0000-16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16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16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1600-000006000000}">
      <text>
        <r>
          <rPr>
            <b/>
            <sz val="9"/>
            <color indexed="81"/>
            <rFont val="MS P ゴシック"/>
            <charset val="128"/>
          </rPr>
          <t>【出力先】
第二面
連名表示（建築主～追加4）
会社名＋役職＋氏名</t>
        </r>
      </text>
    </comment>
    <comment ref="H28" authorId="0" shapeId="0" xr:uid="{00000000-0006-0000-1600-000007000000}">
      <text>
        <r>
          <rPr>
            <b/>
            <sz val="9"/>
            <color indexed="81"/>
            <rFont val="MS P ゴシック"/>
            <charset val="128"/>
          </rPr>
          <t>【出力先】
第三面
1.地名地番</t>
        </r>
      </text>
    </comment>
    <comment ref="H29" authorId="0" shapeId="0" xr:uid="{00000000-0006-0000-1600-000008000000}">
      <text>
        <r>
          <rPr>
            <b/>
            <sz val="9"/>
            <color indexed="81"/>
            <rFont val="MS P ゴシック"/>
            <charset val="128"/>
          </rPr>
          <t>【出力先】
第三面
7.敷地面積　ホ(1)</t>
        </r>
      </text>
    </comment>
    <comment ref="H30" authorId="0" shapeId="0" xr:uid="{00000000-0006-0000-1600-000009000000}">
      <text>
        <r>
          <rPr>
            <b/>
            <sz val="9"/>
            <color indexed="81"/>
            <rFont val="MS P ゴシック"/>
            <charset val="128"/>
          </rPr>
          <t>【出力先】
第四面
4.構造</t>
        </r>
        <r>
          <rPr>
            <sz val="9"/>
            <color indexed="81"/>
            <rFont val="MS P ゴシック"/>
            <charset val="128"/>
          </rPr>
          <t xml:space="preserve">
</t>
        </r>
      </text>
    </comment>
    <comment ref="N30" authorId="0" shapeId="0" xr:uid="{00000000-0006-0000-1600-00000A000000}">
      <text>
        <r>
          <rPr>
            <b/>
            <sz val="9"/>
            <color indexed="81"/>
            <rFont val="MS P ゴシック"/>
            <charset val="128"/>
          </rPr>
          <t>【出力先】
第四面
6.階数　イ</t>
        </r>
        <r>
          <rPr>
            <sz val="9"/>
            <color indexed="81"/>
            <rFont val="MS P ゴシック"/>
            <charset val="128"/>
          </rPr>
          <t xml:space="preserve">
</t>
        </r>
      </text>
    </comment>
    <comment ref="H31" authorId="0" shapeId="0" xr:uid="{00000000-0006-0000-1600-00000B000000}">
      <text>
        <r>
          <rPr>
            <b/>
            <sz val="9"/>
            <color indexed="81"/>
            <rFont val="MS P ゴシック"/>
            <charset val="128"/>
          </rPr>
          <t>【出力先】
第三面
10.建築面積　イ申請部分</t>
        </r>
        <r>
          <rPr>
            <sz val="9"/>
            <color indexed="81"/>
            <rFont val="MS P ゴシック"/>
            <charset val="128"/>
          </rPr>
          <t xml:space="preserve">
</t>
        </r>
      </text>
    </comment>
    <comment ref="N31" authorId="0" shapeId="0" xr:uid="{00000000-0006-0000-1600-00000C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1600-00000D000000}">
      <text>
        <r>
          <rPr>
            <b/>
            <sz val="9"/>
            <color indexed="81"/>
            <rFont val="MS P ゴシック"/>
            <charset val="128"/>
          </rPr>
          <t>ドロップダウンリストから以下を選択
東日本大震災
令和元年台風第19号</t>
        </r>
      </text>
    </comment>
    <comment ref="H34" authorId="0" shapeId="0" xr:uid="{00000000-0006-0000-1600-00000E000000}">
      <text>
        <r>
          <rPr>
            <b/>
            <sz val="9"/>
            <color indexed="81"/>
            <rFont val="MS P ゴシック"/>
            <charset val="128"/>
          </rPr>
          <t>空欄で結構です。
窓口にて、センターで記載します。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1700-000001000000}">
      <text>
        <r>
          <rPr>
            <b/>
            <sz val="9"/>
            <color indexed="81"/>
            <rFont val="MS P ゴシック"/>
            <charset val="128"/>
          </rPr>
          <t>【出力先】
第二面
建築主
住所</t>
        </r>
        <r>
          <rPr>
            <sz val="9"/>
            <color indexed="81"/>
            <rFont val="MS P ゴシック"/>
            <charset val="128"/>
          </rPr>
          <t xml:space="preserve">
</t>
        </r>
      </text>
    </comment>
    <comment ref="Q11" authorId="0" shapeId="0" xr:uid="{00000000-0006-0000-1700-000002000000}">
      <text>
        <r>
          <rPr>
            <b/>
            <sz val="9"/>
            <color indexed="81"/>
            <rFont val="MS P ゴシック"/>
            <charset val="128"/>
          </rPr>
          <t>【出力先】
第二面
建築主
会社名＋役職＋氏名</t>
        </r>
      </text>
    </comment>
    <comment ref="Q13" authorId="0" shapeId="0" xr:uid="{00000000-0006-0000-1700-000003000000}">
      <text>
        <r>
          <rPr>
            <b/>
            <sz val="9"/>
            <color indexed="81"/>
            <rFont val="MS P ゴシック"/>
            <charset val="128"/>
          </rPr>
          <t>【出力先】
第二面
建築主2
会社名＋役職＋氏名</t>
        </r>
        <r>
          <rPr>
            <sz val="9"/>
            <color indexed="81"/>
            <rFont val="MS P ゴシック"/>
            <charset val="128"/>
          </rPr>
          <t xml:space="preserve">
</t>
        </r>
      </text>
    </comment>
    <comment ref="Q15" authorId="0" shapeId="0" xr:uid="{00000000-0006-0000-1700-000004000000}">
      <text>
        <r>
          <rPr>
            <b/>
            <sz val="9"/>
            <color indexed="81"/>
            <rFont val="MS P ゴシック"/>
            <charset val="128"/>
          </rPr>
          <t>【出力先】
第二面
建築主3
会社名＋役職＋氏名</t>
        </r>
        <r>
          <rPr>
            <sz val="9"/>
            <color indexed="81"/>
            <rFont val="MS P ゴシック"/>
            <charset val="128"/>
          </rPr>
          <t xml:space="preserve">
</t>
        </r>
      </text>
    </comment>
    <comment ref="I20" authorId="0" shapeId="0" xr:uid="{00000000-0006-0000-1700-000005000000}">
      <text>
        <r>
          <rPr>
            <sz val="9"/>
            <color indexed="81"/>
            <rFont val="MS P ゴシック"/>
            <charset val="128"/>
          </rPr>
          <t xml:space="preserve">1970/4/1
のように入力してください。
自動的に和暦表示となります。
</t>
        </r>
      </text>
    </comment>
    <comment ref="I22" authorId="0" shapeId="0" xr:uid="{00000000-0006-0000-1700-000006000000}">
      <text>
        <r>
          <rPr>
            <sz val="9"/>
            <color indexed="81"/>
            <rFont val="MS P ゴシック"/>
            <charset val="128"/>
          </rPr>
          <t xml:space="preserve">1970/4/1
のように入力してください。
自動的に和暦表示となります。
</t>
        </r>
      </text>
    </comment>
    <comment ref="H23" authorId="0" shapeId="0" xr:uid="{00000000-0006-0000-1700-000007000000}">
      <text>
        <r>
          <rPr>
            <b/>
            <sz val="9"/>
            <color indexed="81"/>
            <rFont val="MS P ゴシック"/>
            <charset val="128"/>
          </rPr>
          <t>【出力先】
第三面
1.地名地番</t>
        </r>
        <r>
          <rPr>
            <sz val="9"/>
            <color indexed="81"/>
            <rFont val="MS P ゴシック"/>
            <charset val="128"/>
          </rPr>
          <t xml:space="preserve">
</t>
        </r>
      </text>
    </comment>
    <comment ref="H25" authorId="0" shapeId="0" xr:uid="{00000000-0006-0000-1700-000008000000}">
      <text>
        <r>
          <rPr>
            <b/>
            <sz val="9"/>
            <color indexed="81"/>
            <rFont val="MS P ゴシック"/>
            <charset val="128"/>
          </rPr>
          <t>【出力先】
第二面
設計者（代表）
資格</t>
        </r>
      </text>
    </comment>
    <comment ref="L25" authorId="0" shapeId="0" xr:uid="{00000000-0006-0000-1700-000009000000}">
      <text>
        <r>
          <rPr>
            <b/>
            <sz val="9"/>
            <color indexed="81"/>
            <rFont val="MS P ゴシック"/>
            <charset val="128"/>
          </rPr>
          <t>【出力先】
第二面
設計者（代表）
資格</t>
        </r>
        <r>
          <rPr>
            <sz val="9"/>
            <color indexed="81"/>
            <rFont val="MS P ゴシック"/>
            <charset val="128"/>
          </rPr>
          <t xml:space="preserve">
</t>
        </r>
      </text>
    </comment>
    <comment ref="R25" authorId="0" shapeId="0" xr:uid="{00000000-0006-0000-1700-00000A000000}">
      <text>
        <r>
          <rPr>
            <b/>
            <sz val="9"/>
            <color indexed="81"/>
            <rFont val="MS P ゴシック"/>
            <charset val="128"/>
          </rPr>
          <t>【出力先】
第二面
設計者（代表）
資格（番号）</t>
        </r>
      </text>
    </comment>
    <comment ref="H26" authorId="0" shapeId="0" xr:uid="{00000000-0006-0000-1700-00000B000000}">
      <text>
        <r>
          <rPr>
            <b/>
            <sz val="9"/>
            <color indexed="81"/>
            <rFont val="MS P ゴシック"/>
            <charset val="128"/>
          </rPr>
          <t>【出力先】
第二面
設計者（代表）
氏名</t>
        </r>
        <r>
          <rPr>
            <sz val="9"/>
            <color indexed="81"/>
            <rFont val="MS P ゴシック"/>
            <charset val="128"/>
          </rPr>
          <t xml:space="preserve">
</t>
        </r>
      </text>
    </comment>
    <comment ref="H27" authorId="0" shapeId="0" xr:uid="{00000000-0006-0000-1700-00000C000000}">
      <text>
        <r>
          <rPr>
            <b/>
            <sz val="9"/>
            <color indexed="81"/>
            <rFont val="MS P ゴシック"/>
            <charset val="128"/>
          </rPr>
          <t>【出力先】
第二面
設計者（代表）
事務所名</t>
        </r>
        <r>
          <rPr>
            <sz val="9"/>
            <color indexed="81"/>
            <rFont val="MS P ゴシック"/>
            <charset val="128"/>
          </rPr>
          <t xml:space="preserve">
</t>
        </r>
      </text>
    </comment>
    <comment ref="M27" authorId="0" shapeId="0" xr:uid="{00000000-0006-0000-1700-00000D000000}">
      <text>
        <r>
          <rPr>
            <b/>
            <sz val="9"/>
            <color indexed="81"/>
            <rFont val="MS P ゴシック"/>
            <charset val="128"/>
          </rPr>
          <t>【出力先】
第二面
設計者（代表）
事務所名</t>
        </r>
      </text>
    </comment>
    <comment ref="S27" authorId="0" shapeId="0" xr:uid="{00000000-0006-0000-1700-00000E000000}">
      <text>
        <r>
          <rPr>
            <b/>
            <sz val="9"/>
            <color indexed="81"/>
            <rFont val="MS P ゴシック"/>
            <charset val="128"/>
          </rPr>
          <t>【出力先】
第二面
設計者（代表）
事務所名（番号）</t>
        </r>
        <r>
          <rPr>
            <sz val="9"/>
            <color indexed="81"/>
            <rFont val="MS P ゴシック"/>
            <charset val="128"/>
          </rPr>
          <t xml:space="preserve">
</t>
        </r>
      </text>
    </comment>
    <comment ref="H28" authorId="0" shapeId="0" xr:uid="{00000000-0006-0000-1700-00000F000000}">
      <text>
        <r>
          <rPr>
            <b/>
            <sz val="9"/>
            <color indexed="81"/>
            <rFont val="MS P ゴシック"/>
            <charset val="128"/>
          </rPr>
          <t>【出力先】
第二面
設計者（代表）
事務所名</t>
        </r>
      </text>
    </comment>
    <comment ref="H29" authorId="0" shapeId="0" xr:uid="{00000000-0006-0000-1700-000010000000}">
      <text>
        <r>
          <rPr>
            <b/>
            <sz val="9"/>
            <color indexed="81"/>
            <rFont val="MS P ゴシック"/>
            <charset val="128"/>
          </rPr>
          <t>【出力先】
第二面
設計者（代表）
電話番号</t>
        </r>
        <r>
          <rPr>
            <sz val="9"/>
            <color indexed="81"/>
            <rFont val="MS P ゴシック"/>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0000000-0006-0000-1800-000001000000}">
      <text>
        <r>
          <rPr>
            <b/>
            <sz val="9"/>
            <color indexed="81"/>
            <rFont val="MS P ゴシック"/>
            <charset val="128"/>
          </rPr>
          <t>【出力先】
第二面
設計者（代表）
氏名</t>
        </r>
        <r>
          <rPr>
            <sz val="9"/>
            <color indexed="81"/>
            <rFont val="MS P ゴシック"/>
            <charset val="128"/>
          </rPr>
          <t xml:space="preserve">
</t>
        </r>
      </text>
    </comment>
    <comment ref="Q13" authorId="0" shapeId="0" xr:uid="{00000000-0006-0000-1800-000002000000}">
      <text>
        <r>
          <rPr>
            <b/>
            <sz val="9"/>
            <color indexed="81"/>
            <rFont val="MS P ゴシック"/>
            <charset val="128"/>
          </rPr>
          <t>【出力先】
第二面
建築主
住所</t>
        </r>
        <r>
          <rPr>
            <sz val="9"/>
            <color indexed="81"/>
            <rFont val="MS P ゴシック"/>
            <charset val="128"/>
          </rPr>
          <t xml:space="preserve">
</t>
        </r>
      </text>
    </comment>
    <comment ref="Q15" authorId="0" shapeId="0" xr:uid="{00000000-0006-0000-1800-000003000000}">
      <text>
        <r>
          <rPr>
            <b/>
            <sz val="9"/>
            <color indexed="81"/>
            <rFont val="MS P ゴシック"/>
            <charset val="128"/>
          </rPr>
          <t>【出力先】
第二面
建築主
会社名＋役職＋氏名</t>
        </r>
      </text>
    </comment>
    <comment ref="Q17" authorId="0" shapeId="0" xr:uid="{00000000-0006-0000-1800-000004000000}">
      <text>
        <r>
          <rPr>
            <b/>
            <sz val="9"/>
            <color indexed="81"/>
            <rFont val="MS P ゴシック"/>
            <charset val="128"/>
          </rPr>
          <t>【出力先】
第二面
建築主2
会社名＋役職＋氏名</t>
        </r>
        <r>
          <rPr>
            <sz val="9"/>
            <color indexed="81"/>
            <rFont val="MS P ゴシック"/>
            <charset val="128"/>
          </rPr>
          <t xml:space="preserve">
</t>
        </r>
      </text>
    </comment>
    <comment ref="Q19" authorId="0" shapeId="0" xr:uid="{00000000-0006-0000-1800-000005000000}">
      <text>
        <r>
          <rPr>
            <b/>
            <sz val="9"/>
            <color indexed="81"/>
            <rFont val="MS P ゴシック"/>
            <charset val="128"/>
          </rPr>
          <t>【出力先】
第二面
建築主3
会社名＋役職＋氏名</t>
        </r>
        <r>
          <rPr>
            <sz val="9"/>
            <color indexed="81"/>
            <rFont val="MS P ゴシック"/>
            <charset val="128"/>
          </rPr>
          <t xml:space="preserve">
</t>
        </r>
      </text>
    </comment>
    <comment ref="Q21" authorId="0" shapeId="0" xr:uid="{00000000-0006-0000-1800-000006000000}">
      <text>
        <r>
          <rPr>
            <b/>
            <sz val="9"/>
            <color indexed="81"/>
            <rFont val="MS P ゴシック"/>
            <charset val="128"/>
          </rPr>
          <t>【出力先】
第二面
建築主
電話番号</t>
        </r>
      </text>
    </comment>
    <comment ref="H23" authorId="0" shapeId="0" xr:uid="{00000000-0006-0000-1800-000007000000}">
      <text>
        <r>
          <rPr>
            <b/>
            <sz val="9"/>
            <color indexed="81"/>
            <rFont val="MS P ゴシック"/>
            <charset val="128"/>
          </rPr>
          <t>【出力先】
第二面
代理者
氏名</t>
        </r>
        <r>
          <rPr>
            <sz val="9"/>
            <color indexed="81"/>
            <rFont val="MS P ゴシック"/>
            <charset val="128"/>
          </rPr>
          <t xml:space="preserve">
</t>
        </r>
      </text>
    </comment>
    <comment ref="H24" authorId="0" shapeId="0" xr:uid="{00000000-0006-0000-1800-000008000000}">
      <text>
        <r>
          <rPr>
            <b/>
            <sz val="9"/>
            <color indexed="81"/>
            <rFont val="MS P ゴシック"/>
            <charset val="128"/>
          </rPr>
          <t>【出力先】
第二面
代理者
所在地</t>
        </r>
        <r>
          <rPr>
            <sz val="9"/>
            <color indexed="81"/>
            <rFont val="MS P ゴシック"/>
            <charset val="128"/>
          </rPr>
          <t xml:space="preserve">
</t>
        </r>
      </text>
    </comment>
    <comment ref="H25" authorId="0" shapeId="0" xr:uid="{00000000-0006-0000-1800-000009000000}">
      <text>
        <r>
          <rPr>
            <b/>
            <sz val="9"/>
            <color indexed="81"/>
            <rFont val="MS P ゴシック"/>
            <charset val="128"/>
          </rPr>
          <t>【出力先】
第二面
代理者
電話番号</t>
        </r>
        <r>
          <rPr>
            <sz val="9"/>
            <color indexed="81"/>
            <rFont val="MS P ゴシック"/>
            <charset val="128"/>
          </rPr>
          <t xml:space="preserve">
</t>
        </r>
      </text>
    </comment>
    <comment ref="H26" authorId="0" shapeId="0" xr:uid="{00000000-0006-0000-1800-00000A000000}">
      <text>
        <r>
          <rPr>
            <b/>
            <sz val="9"/>
            <color indexed="81"/>
            <rFont val="MS P ゴシック"/>
            <charset val="128"/>
          </rPr>
          <t>【出力先】
第二面
設計者（代表）
資格</t>
        </r>
      </text>
    </comment>
    <comment ref="L26" authorId="0" shapeId="0" xr:uid="{00000000-0006-0000-1800-00000B000000}">
      <text>
        <r>
          <rPr>
            <b/>
            <sz val="9"/>
            <color indexed="81"/>
            <rFont val="MS P ゴシック"/>
            <charset val="128"/>
          </rPr>
          <t>【出力先】
第二面
設計者（代表）
資格</t>
        </r>
        <r>
          <rPr>
            <sz val="9"/>
            <color indexed="81"/>
            <rFont val="MS P ゴシック"/>
            <charset val="128"/>
          </rPr>
          <t xml:space="preserve">
</t>
        </r>
      </text>
    </comment>
    <comment ref="R26" authorId="0" shapeId="0" xr:uid="{00000000-0006-0000-1800-00000C000000}">
      <text>
        <r>
          <rPr>
            <b/>
            <sz val="9"/>
            <color indexed="81"/>
            <rFont val="MS P ゴシック"/>
            <charset val="128"/>
          </rPr>
          <t>【出力先】
第二面
設計者（代表）
資格（番号）</t>
        </r>
      </text>
    </comment>
    <comment ref="H27" authorId="0" shapeId="0" xr:uid="{00000000-0006-0000-1800-00000D000000}">
      <text>
        <r>
          <rPr>
            <b/>
            <sz val="9"/>
            <color indexed="81"/>
            <rFont val="MS P ゴシック"/>
            <charset val="128"/>
          </rPr>
          <t>【出力先】
第二面
設計者（代表）
氏名</t>
        </r>
        <r>
          <rPr>
            <sz val="9"/>
            <color indexed="81"/>
            <rFont val="MS P ゴシック"/>
            <charset val="128"/>
          </rPr>
          <t xml:space="preserve">
</t>
        </r>
      </text>
    </comment>
    <comment ref="H28" authorId="0" shapeId="0" xr:uid="{00000000-0006-0000-1800-00000E000000}">
      <text>
        <r>
          <rPr>
            <b/>
            <sz val="9"/>
            <color indexed="81"/>
            <rFont val="MS P ゴシック"/>
            <charset val="128"/>
          </rPr>
          <t>【出力先】
第二面
設計者（代表）
事務所名</t>
        </r>
        <r>
          <rPr>
            <sz val="9"/>
            <color indexed="81"/>
            <rFont val="MS P ゴシック"/>
            <charset val="128"/>
          </rPr>
          <t xml:space="preserve">
</t>
        </r>
      </text>
    </comment>
    <comment ref="M28" authorId="0" shapeId="0" xr:uid="{00000000-0006-0000-1800-00000F000000}">
      <text>
        <r>
          <rPr>
            <b/>
            <sz val="9"/>
            <color indexed="81"/>
            <rFont val="MS P ゴシック"/>
            <charset val="128"/>
          </rPr>
          <t>【出力先】
第二面
設計者（代表）
事務所名</t>
        </r>
      </text>
    </comment>
    <comment ref="S28" authorId="0" shapeId="0" xr:uid="{00000000-0006-0000-1800-000010000000}">
      <text>
        <r>
          <rPr>
            <b/>
            <sz val="9"/>
            <color indexed="81"/>
            <rFont val="MS P ゴシック"/>
            <charset val="128"/>
          </rPr>
          <t>【出力先】
第二面
設計者（代表）
事務所名（番号）</t>
        </r>
        <r>
          <rPr>
            <sz val="9"/>
            <color indexed="81"/>
            <rFont val="MS P ゴシック"/>
            <charset val="128"/>
          </rPr>
          <t xml:space="preserve">
</t>
        </r>
      </text>
    </comment>
    <comment ref="H29" authorId="0" shapeId="0" xr:uid="{00000000-0006-0000-1800-000011000000}">
      <text>
        <r>
          <rPr>
            <b/>
            <sz val="9"/>
            <color indexed="81"/>
            <rFont val="MS P ゴシック"/>
            <charset val="128"/>
          </rPr>
          <t>【出力先】
第二面
設計者（代表）
事務所名</t>
        </r>
      </text>
    </comment>
    <comment ref="H30" authorId="0" shapeId="0" xr:uid="{00000000-0006-0000-1800-000012000000}">
      <text>
        <r>
          <rPr>
            <b/>
            <sz val="9"/>
            <color indexed="81"/>
            <rFont val="MS P ゴシック"/>
            <charset val="128"/>
          </rPr>
          <t>【出力先】
第二面
設計者（代表）
所在地</t>
        </r>
        <r>
          <rPr>
            <sz val="9"/>
            <color indexed="81"/>
            <rFont val="MS P ゴシック"/>
            <charset val="128"/>
          </rPr>
          <t xml:space="preserve">
</t>
        </r>
      </text>
    </comment>
    <comment ref="H31" authorId="0" shapeId="0" xr:uid="{00000000-0006-0000-1800-000013000000}">
      <text>
        <r>
          <rPr>
            <b/>
            <sz val="9"/>
            <color indexed="81"/>
            <rFont val="MS P ゴシック"/>
            <charset val="128"/>
          </rPr>
          <t>【出力先】
第二面
設計者（代表）
電話番号</t>
        </r>
        <r>
          <rPr>
            <sz val="9"/>
            <color indexed="81"/>
            <rFont val="MS P ゴシック"/>
            <charset val="128"/>
          </rPr>
          <t xml:space="preserve">
</t>
        </r>
      </text>
    </comment>
    <comment ref="H32" authorId="0" shapeId="0" xr:uid="{00000000-0006-0000-1800-000014000000}">
      <text>
        <r>
          <rPr>
            <b/>
            <sz val="9"/>
            <color indexed="81"/>
            <rFont val="MS P ゴシック"/>
            <charset val="128"/>
          </rPr>
          <t>【出力先】
第三面
1.地名地番</t>
        </r>
        <r>
          <rPr>
            <sz val="9"/>
            <color indexed="81"/>
            <rFont val="MS P ゴシック"/>
            <charset val="128"/>
          </rPr>
          <t xml:space="preserve">
</t>
        </r>
      </text>
    </comment>
    <comment ref="S34" authorId="0" shapeId="0" xr:uid="{00000000-0006-0000-1800-000015000000}">
      <text>
        <r>
          <rPr>
            <b/>
            <sz val="9"/>
            <color indexed="81"/>
            <rFont val="MS P ゴシック"/>
            <charset val="128"/>
          </rPr>
          <t>【出力先】
第四面(棟1）
2.用途</t>
        </r>
      </text>
    </comment>
    <comment ref="H36" authorId="0" shapeId="0" xr:uid="{00000000-0006-0000-1800-000016000000}">
      <text>
        <r>
          <rPr>
            <b/>
            <sz val="9"/>
            <color indexed="81"/>
            <rFont val="MS P ゴシック"/>
            <charset val="128"/>
          </rPr>
          <t>【出力先】
第四面
3.工事種別</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G36" authorId="0" shapeId="0" xr:uid="{00000000-0006-0000-1900-000001000000}">
      <text>
        <r>
          <rPr>
            <b/>
            <sz val="9"/>
            <color indexed="81"/>
            <rFont val="MS P ゴシック"/>
            <charset val="128"/>
          </rPr>
          <t>【出力先】
第二面
設計者（代表）
資格</t>
        </r>
      </text>
    </comment>
    <comment ref="K36" authorId="0" shapeId="0" xr:uid="{00000000-0006-0000-1900-000002000000}">
      <text>
        <r>
          <rPr>
            <b/>
            <sz val="9"/>
            <color indexed="81"/>
            <rFont val="MS P ゴシック"/>
            <charset val="128"/>
          </rPr>
          <t>【出力先】
第二面
設計者（代表）
資格</t>
        </r>
        <r>
          <rPr>
            <sz val="9"/>
            <color indexed="81"/>
            <rFont val="MS P ゴシック"/>
            <charset val="128"/>
          </rPr>
          <t xml:space="preserve">
</t>
        </r>
      </text>
    </comment>
    <comment ref="Q36" authorId="0" shapeId="0" xr:uid="{00000000-0006-0000-1900-000003000000}">
      <text>
        <r>
          <rPr>
            <b/>
            <sz val="9"/>
            <color indexed="81"/>
            <rFont val="MS P ゴシック"/>
            <charset val="128"/>
          </rPr>
          <t>【出力先】
第二面
設計者（代表）
資格（番号）</t>
        </r>
      </text>
    </comment>
    <comment ref="G37" authorId="0" shapeId="0" xr:uid="{00000000-0006-0000-1900-000004000000}">
      <text>
        <r>
          <rPr>
            <b/>
            <sz val="9"/>
            <color indexed="81"/>
            <rFont val="MS P ゴシック"/>
            <charset val="128"/>
          </rPr>
          <t>【出力先】
第二面
設計者（代表）
氏名</t>
        </r>
        <r>
          <rPr>
            <sz val="9"/>
            <color indexed="81"/>
            <rFont val="MS P ゴシック"/>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A8" authorId="0" shapeId="0" xr:uid="{00000000-0006-0000-1A00-000001000000}">
      <text>
        <r>
          <rPr>
            <b/>
            <sz val="9"/>
            <color indexed="81"/>
            <rFont val="MS P ゴシック"/>
            <charset val="128"/>
          </rPr>
          <t>自動反映
「目次・入力シート」
完了検査</t>
        </r>
      </text>
    </comment>
    <comment ref="M8" authorId="0" shapeId="0" xr:uid="{00000000-0006-0000-1A00-000002000000}">
      <text>
        <r>
          <rPr>
            <b/>
            <sz val="9"/>
            <color indexed="81"/>
            <rFont val="MS P ゴシック"/>
            <charset val="128"/>
          </rPr>
          <t>自動反映
「目次・入力シート」
直前の確認番号</t>
        </r>
      </text>
    </comment>
    <comment ref="A9" authorId="0" shapeId="0" xr:uid="{00000000-0006-0000-1A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E9" authorId="0" shapeId="0" xr:uid="{00000000-0006-0000-1A00-000004000000}">
      <text>
        <r>
          <rPr>
            <b/>
            <sz val="9"/>
            <color indexed="81"/>
            <rFont val="MS P ゴシック"/>
            <charset val="128"/>
          </rPr>
          <t>自動反映
「目次・入力シート」
中間or竣工</t>
        </r>
        <r>
          <rPr>
            <sz val="9"/>
            <color indexed="81"/>
            <rFont val="MS P ゴシック"/>
            <charset val="128"/>
          </rPr>
          <t xml:space="preserve">
</t>
        </r>
      </text>
    </comment>
    <comment ref="G9" authorId="0" shapeId="0" xr:uid="{00000000-0006-0000-1A00-000005000000}">
      <text>
        <r>
          <rPr>
            <b/>
            <sz val="9"/>
            <color indexed="81"/>
            <rFont val="MS P ゴシック"/>
            <charset val="128"/>
          </rPr>
          <t>自動反映
「目次・入力シート」
中間or竣工</t>
        </r>
      </text>
    </comment>
    <comment ref="M9" authorId="0" shapeId="0" xr:uid="{00000000-0006-0000-1A00-000006000000}">
      <text>
        <r>
          <rPr>
            <b/>
            <sz val="9"/>
            <color indexed="81"/>
            <rFont val="MS P ゴシック"/>
            <charset val="128"/>
          </rPr>
          <t>自動反映
「目次・入力シート」
設計合格番号</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23" authorId="0" shapeId="0" xr:uid="{00000000-0006-0000-1C00-000001000000}">
      <text>
        <r>
          <rPr>
            <b/>
            <sz val="9"/>
            <color indexed="81"/>
            <rFont val="MS P ゴシック"/>
            <charset val="128"/>
          </rPr>
          <t>自動反映
「目次・入力シート」
完了検査</t>
        </r>
      </text>
    </comment>
    <comment ref="N23" authorId="0" shapeId="0" xr:uid="{00000000-0006-0000-1C00-000002000000}">
      <text>
        <r>
          <rPr>
            <b/>
            <sz val="9"/>
            <color indexed="81"/>
            <rFont val="MS P ゴシック"/>
            <charset val="128"/>
          </rPr>
          <t>自動反映
「目次・入力シート」
直前の確認番号</t>
        </r>
      </text>
    </comment>
    <comment ref="B24" authorId="0" shapeId="0" xr:uid="{00000000-0006-0000-1C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F24" authorId="0" shapeId="0" xr:uid="{00000000-0006-0000-1C00-000004000000}">
      <text>
        <r>
          <rPr>
            <b/>
            <sz val="9"/>
            <color indexed="81"/>
            <rFont val="MS P ゴシック"/>
            <charset val="128"/>
          </rPr>
          <t>自動反映
「目次・入力シート」
中間or竣工</t>
        </r>
        <r>
          <rPr>
            <sz val="9"/>
            <color indexed="81"/>
            <rFont val="MS P ゴシック"/>
            <charset val="128"/>
          </rPr>
          <t xml:space="preserve">
</t>
        </r>
      </text>
    </comment>
    <comment ref="H24" authorId="0" shapeId="0" xr:uid="{00000000-0006-0000-1C00-000005000000}">
      <text>
        <r>
          <rPr>
            <b/>
            <sz val="9"/>
            <color indexed="81"/>
            <rFont val="MS P ゴシック"/>
            <charset val="128"/>
          </rPr>
          <t>自動反映
「目次・入力シート」
中間or竣工</t>
        </r>
      </text>
    </comment>
    <comment ref="N24" authorId="0" shapeId="0" xr:uid="{00000000-0006-0000-1C00-000006000000}">
      <text>
        <r>
          <rPr>
            <b/>
            <sz val="9"/>
            <color indexed="81"/>
            <rFont val="MS P ゴシック"/>
            <charset val="128"/>
          </rPr>
          <t>自動反映
「目次・入力シート」
設計合格番号</t>
        </r>
      </text>
    </comment>
    <comment ref="B25" authorId="0" shapeId="0" xr:uid="{00000000-0006-0000-1C00-000007000000}">
      <text>
        <r>
          <rPr>
            <b/>
            <sz val="9"/>
            <color indexed="81"/>
            <rFont val="MS P ゴシック"/>
            <charset val="128"/>
          </rPr>
          <t>自動反映
「目次・入力シート」
災害復興</t>
        </r>
        <r>
          <rPr>
            <sz val="9"/>
            <color indexed="81"/>
            <rFont val="MS P ゴシック"/>
            <charset val="128"/>
          </rPr>
          <t xml:space="preserve">
</t>
        </r>
      </text>
    </comment>
    <comment ref="D26" authorId="0" shapeId="0" xr:uid="{00000000-0006-0000-1C00-000008000000}">
      <text>
        <r>
          <rPr>
            <b/>
            <sz val="9"/>
            <color indexed="81"/>
            <rFont val="MS P ゴシック"/>
            <charset val="128"/>
          </rPr>
          <t>【出力先】
第二面
連名表示（建築主～建築主4）
会社名＋役職＋氏名</t>
        </r>
        <r>
          <rPr>
            <sz val="9"/>
            <color indexed="81"/>
            <rFont val="MS P ゴシック"/>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22" authorId="0" shapeId="0" xr:uid="{00000000-0006-0000-1D00-000001000000}">
      <text>
        <r>
          <rPr>
            <b/>
            <sz val="9"/>
            <color indexed="81"/>
            <rFont val="MS P ゴシック"/>
            <charset val="128"/>
          </rPr>
          <t>【出力先】
第二面
建築主
会社名＋役職＋氏名</t>
        </r>
      </text>
    </comment>
    <comment ref="Q24" authorId="0" shapeId="0" xr:uid="{00000000-0006-0000-1D00-000002000000}">
      <text>
        <r>
          <rPr>
            <b/>
            <sz val="9"/>
            <color indexed="81"/>
            <rFont val="MS P ゴシック"/>
            <charset val="128"/>
          </rPr>
          <t>【出力先】
第二面
建築主（追加１）
会社名＋役職＋氏名</t>
        </r>
        <r>
          <rPr>
            <sz val="9"/>
            <color indexed="81"/>
            <rFont val="MS P ゴシック"/>
            <charset val="128"/>
          </rPr>
          <t xml:space="preserve">
</t>
        </r>
      </text>
    </comment>
    <comment ref="Q26" authorId="0" shapeId="0" xr:uid="{00000000-0006-0000-1D00-000003000000}">
      <text>
        <r>
          <rPr>
            <b/>
            <sz val="9"/>
            <color indexed="81"/>
            <rFont val="MS P ゴシック"/>
            <charset val="128"/>
          </rPr>
          <t>【出力先】
第二面
建築主（追加２）
会社名＋役職＋氏名</t>
        </r>
        <r>
          <rPr>
            <sz val="9"/>
            <color indexed="81"/>
            <rFont val="MS P ゴシック"/>
            <charset val="128"/>
          </rPr>
          <t xml:space="preserve">
</t>
        </r>
      </text>
    </comment>
    <comment ref="Q31" authorId="0" shapeId="0" xr:uid="{00000000-0006-0000-1D00-000004000000}">
      <text>
        <r>
          <rPr>
            <b/>
            <sz val="9"/>
            <color indexed="81"/>
            <rFont val="MS P ゴシック"/>
            <charset val="128"/>
          </rPr>
          <t>【出力先】
第二面
工事監理者（代表）
氏名</t>
        </r>
        <r>
          <rPr>
            <sz val="9"/>
            <color indexed="81"/>
            <rFont val="MS P ゴシック"/>
            <charset val="128"/>
          </rPr>
          <t xml:space="preserve">
</t>
        </r>
      </text>
    </comment>
    <comment ref="G50" authorId="0" shapeId="0" xr:uid="{00000000-0006-0000-1D00-000005000000}">
      <text>
        <r>
          <rPr>
            <b/>
            <sz val="9"/>
            <color indexed="81"/>
            <rFont val="MS P ゴシック"/>
            <charset val="128"/>
          </rPr>
          <t xml:space="preserve">【出力先】
第二面
建築主
フリガナ
</t>
        </r>
        <r>
          <rPr>
            <sz val="9"/>
            <color indexed="81"/>
            <rFont val="MS P ゴシック"/>
            <charset val="128"/>
          </rPr>
          <t xml:space="preserve">
</t>
        </r>
      </text>
    </comment>
    <comment ref="G51" authorId="0" shapeId="0" xr:uid="{00000000-0006-0000-1D00-000006000000}">
      <text>
        <r>
          <rPr>
            <b/>
            <sz val="9"/>
            <color indexed="81"/>
            <rFont val="MS P ゴシック"/>
            <charset val="128"/>
          </rPr>
          <t xml:space="preserve">【出力先】
第二面
建築主
氏名
</t>
        </r>
      </text>
    </comment>
    <comment ref="H53" authorId="0" shapeId="0" xr:uid="{00000000-0006-0000-1D00-000007000000}">
      <text>
        <r>
          <rPr>
            <b/>
            <sz val="9"/>
            <color indexed="81"/>
            <rFont val="MS P ゴシック"/>
            <charset val="128"/>
          </rPr>
          <t>【出力先】
第二面
建築主
郵便番号</t>
        </r>
        <r>
          <rPr>
            <sz val="9"/>
            <color indexed="81"/>
            <rFont val="MS P ゴシック"/>
            <charset val="128"/>
          </rPr>
          <t xml:space="preserve">
</t>
        </r>
      </text>
    </comment>
    <comment ref="G54" authorId="0" shapeId="0" xr:uid="{00000000-0006-0000-1D00-000008000000}">
      <text>
        <r>
          <rPr>
            <b/>
            <sz val="9"/>
            <color indexed="81"/>
            <rFont val="MS P ゴシック"/>
            <charset val="128"/>
          </rPr>
          <t>【出力先】
第二面
建築主
住所</t>
        </r>
        <r>
          <rPr>
            <sz val="9"/>
            <color indexed="81"/>
            <rFont val="MS P ゴシック"/>
            <charset val="128"/>
          </rPr>
          <t xml:space="preserve">
</t>
        </r>
      </text>
    </comment>
    <comment ref="G56" authorId="0" shapeId="0" xr:uid="{00000000-0006-0000-1D00-000009000000}">
      <text>
        <r>
          <rPr>
            <b/>
            <sz val="9"/>
            <color indexed="81"/>
            <rFont val="MS P ゴシック"/>
            <charset val="128"/>
          </rPr>
          <t>【出力先】
第二面
建築主
電話番号</t>
        </r>
        <r>
          <rPr>
            <sz val="9"/>
            <color indexed="81"/>
            <rFont val="MS P ゴシック"/>
            <charset val="128"/>
          </rPr>
          <t xml:space="preserve">
</t>
        </r>
      </text>
    </comment>
    <comment ref="G59" authorId="0" shapeId="0" xr:uid="{00000000-0006-0000-1D00-00000A000000}">
      <text>
        <r>
          <rPr>
            <b/>
            <sz val="9"/>
            <color indexed="81"/>
            <rFont val="MS P ゴシック"/>
            <charset val="128"/>
          </rPr>
          <t>【出力先】
第二面
代理者
資格</t>
        </r>
      </text>
    </comment>
    <comment ref="K59" authorId="0" shapeId="0" xr:uid="{00000000-0006-0000-1D00-00000B000000}">
      <text>
        <r>
          <rPr>
            <b/>
            <sz val="9"/>
            <color indexed="81"/>
            <rFont val="MS P ゴシック"/>
            <charset val="128"/>
          </rPr>
          <t>【出力先】
第二面
代理者
資格</t>
        </r>
        <r>
          <rPr>
            <sz val="9"/>
            <color indexed="81"/>
            <rFont val="MS P ゴシック"/>
            <charset val="128"/>
          </rPr>
          <t xml:space="preserve">
</t>
        </r>
      </text>
    </comment>
    <comment ref="Q59" authorId="0" shapeId="0" xr:uid="{00000000-0006-0000-1D00-00000C000000}">
      <text>
        <r>
          <rPr>
            <b/>
            <sz val="9"/>
            <color indexed="81"/>
            <rFont val="MS P ゴシック"/>
            <charset val="128"/>
          </rPr>
          <t>【出力先】
第二面
代理者
資格（番号）</t>
        </r>
      </text>
    </comment>
    <comment ref="G60" authorId="0" shapeId="0" xr:uid="{00000000-0006-0000-1D00-00000D000000}">
      <text>
        <r>
          <rPr>
            <b/>
            <sz val="9"/>
            <color indexed="81"/>
            <rFont val="MS P ゴシック"/>
            <charset val="128"/>
          </rPr>
          <t>【出力先】
第二面
代理者
氏名</t>
        </r>
        <r>
          <rPr>
            <sz val="9"/>
            <color indexed="81"/>
            <rFont val="MS P ゴシック"/>
            <charset val="128"/>
          </rPr>
          <t xml:space="preserve">
</t>
        </r>
      </text>
    </comment>
    <comment ref="G61" authorId="0" shapeId="0" xr:uid="{00000000-0006-0000-1D00-00000E000000}">
      <text>
        <r>
          <rPr>
            <b/>
            <sz val="9"/>
            <color indexed="81"/>
            <rFont val="MS P ゴシック"/>
            <charset val="128"/>
          </rPr>
          <t>【出力先】
第二面
代理者
事務所名</t>
        </r>
        <r>
          <rPr>
            <sz val="9"/>
            <color indexed="81"/>
            <rFont val="MS P ゴシック"/>
            <charset val="128"/>
          </rPr>
          <t xml:space="preserve">
</t>
        </r>
      </text>
    </comment>
    <comment ref="L61" authorId="0" shapeId="0" xr:uid="{00000000-0006-0000-1D00-00000F000000}">
      <text>
        <r>
          <rPr>
            <b/>
            <sz val="9"/>
            <color indexed="81"/>
            <rFont val="MS P ゴシック"/>
            <charset val="128"/>
          </rPr>
          <t>【出力先】
第二面
代理者
事務所名</t>
        </r>
      </text>
    </comment>
    <comment ref="R61" authorId="0" shapeId="0" xr:uid="{00000000-0006-0000-1D00-000010000000}">
      <text>
        <r>
          <rPr>
            <b/>
            <sz val="9"/>
            <color indexed="81"/>
            <rFont val="MS P ゴシック"/>
            <charset val="128"/>
          </rPr>
          <t>【出力先】
第二面
代理者
事務所名（番号）</t>
        </r>
        <r>
          <rPr>
            <sz val="9"/>
            <color indexed="81"/>
            <rFont val="MS P ゴシック"/>
            <charset val="128"/>
          </rPr>
          <t xml:space="preserve">
</t>
        </r>
      </text>
    </comment>
    <comment ref="G62" authorId="0" shapeId="0" xr:uid="{00000000-0006-0000-1D00-000011000000}">
      <text>
        <r>
          <rPr>
            <b/>
            <sz val="9"/>
            <color indexed="81"/>
            <rFont val="MS P ゴシック"/>
            <charset val="128"/>
          </rPr>
          <t>【出力先】
第二面
代理者
事務所名</t>
        </r>
      </text>
    </comment>
    <comment ref="H63" authorId="0" shapeId="0" xr:uid="{00000000-0006-0000-1D00-000012000000}">
      <text>
        <r>
          <rPr>
            <b/>
            <sz val="9"/>
            <color indexed="81"/>
            <rFont val="MS P ゴシック"/>
            <charset val="128"/>
          </rPr>
          <t>【出力先】
第二面
代理者
郵便番号</t>
        </r>
        <r>
          <rPr>
            <sz val="9"/>
            <color indexed="81"/>
            <rFont val="MS P ゴシック"/>
            <charset val="128"/>
          </rPr>
          <t xml:space="preserve">
</t>
        </r>
      </text>
    </comment>
    <comment ref="G64" authorId="0" shapeId="0" xr:uid="{00000000-0006-0000-1D00-000013000000}">
      <text>
        <r>
          <rPr>
            <b/>
            <sz val="9"/>
            <color indexed="81"/>
            <rFont val="MS P ゴシック"/>
            <charset val="128"/>
          </rPr>
          <t>【出力先】
第二面
代理者
所在地</t>
        </r>
        <r>
          <rPr>
            <sz val="9"/>
            <color indexed="81"/>
            <rFont val="MS P ゴシック"/>
            <charset val="128"/>
          </rPr>
          <t xml:space="preserve">
</t>
        </r>
      </text>
    </comment>
    <comment ref="G66" authorId="0" shapeId="0" xr:uid="{00000000-0006-0000-1D00-000014000000}">
      <text>
        <r>
          <rPr>
            <b/>
            <sz val="9"/>
            <color indexed="81"/>
            <rFont val="MS P ゴシック"/>
            <charset val="128"/>
          </rPr>
          <t>【出力先】
第二面
代理者
電話番号</t>
        </r>
        <r>
          <rPr>
            <sz val="9"/>
            <color indexed="81"/>
            <rFont val="MS P ゴシック"/>
            <charset val="128"/>
          </rPr>
          <t xml:space="preserve">
</t>
        </r>
      </text>
    </comment>
    <comment ref="G70" authorId="0" shapeId="0" xr:uid="{00000000-0006-0000-1D00-000015000000}">
      <text>
        <r>
          <rPr>
            <b/>
            <sz val="9"/>
            <color indexed="81"/>
            <rFont val="MS P ゴシック"/>
            <charset val="128"/>
          </rPr>
          <t>【出力先】
第二面
設計者（代表）
資格</t>
        </r>
      </text>
    </comment>
    <comment ref="K70" authorId="0" shapeId="0" xr:uid="{00000000-0006-0000-1D00-000016000000}">
      <text>
        <r>
          <rPr>
            <b/>
            <sz val="9"/>
            <color indexed="81"/>
            <rFont val="MS P ゴシック"/>
            <charset val="128"/>
          </rPr>
          <t>【出力先】
第二面
設計者（代表）
資格</t>
        </r>
        <r>
          <rPr>
            <sz val="9"/>
            <color indexed="81"/>
            <rFont val="MS P ゴシック"/>
            <charset val="128"/>
          </rPr>
          <t xml:space="preserve">
</t>
        </r>
      </text>
    </comment>
    <comment ref="Q70" authorId="0" shapeId="0" xr:uid="{00000000-0006-0000-1D00-000017000000}">
      <text>
        <r>
          <rPr>
            <b/>
            <sz val="9"/>
            <color indexed="81"/>
            <rFont val="MS P ゴシック"/>
            <charset val="128"/>
          </rPr>
          <t>【出力先】
第二面
設計者（代表）
資格（番号）</t>
        </r>
      </text>
    </comment>
    <comment ref="G71" authorId="0" shapeId="0" xr:uid="{00000000-0006-0000-1D00-000018000000}">
      <text>
        <r>
          <rPr>
            <b/>
            <sz val="9"/>
            <color indexed="81"/>
            <rFont val="MS P ゴシック"/>
            <charset val="128"/>
          </rPr>
          <t>【出力先】
第二面
設計者（代表）
氏名</t>
        </r>
        <r>
          <rPr>
            <sz val="9"/>
            <color indexed="81"/>
            <rFont val="MS P ゴシック"/>
            <charset val="128"/>
          </rPr>
          <t xml:space="preserve">
</t>
        </r>
      </text>
    </comment>
    <comment ref="G72" authorId="0" shapeId="0" xr:uid="{00000000-0006-0000-1D00-000019000000}">
      <text>
        <r>
          <rPr>
            <b/>
            <sz val="9"/>
            <color indexed="81"/>
            <rFont val="MS P ゴシック"/>
            <charset val="128"/>
          </rPr>
          <t>【出力先】
第二面
設計者（代表）
事務所名</t>
        </r>
        <r>
          <rPr>
            <sz val="9"/>
            <color indexed="81"/>
            <rFont val="MS P ゴシック"/>
            <charset val="128"/>
          </rPr>
          <t xml:space="preserve">
</t>
        </r>
      </text>
    </comment>
    <comment ref="L72" authorId="0" shapeId="0" xr:uid="{00000000-0006-0000-1D00-00001A000000}">
      <text>
        <r>
          <rPr>
            <b/>
            <sz val="9"/>
            <color indexed="81"/>
            <rFont val="MS P ゴシック"/>
            <charset val="128"/>
          </rPr>
          <t>【出力先】
第二面
設計者（代表）
事務所名</t>
        </r>
      </text>
    </comment>
    <comment ref="R72" authorId="0" shapeId="0" xr:uid="{00000000-0006-0000-1D00-00001B000000}">
      <text>
        <r>
          <rPr>
            <b/>
            <sz val="9"/>
            <color indexed="81"/>
            <rFont val="MS P ゴシック"/>
            <charset val="128"/>
          </rPr>
          <t>【出力先】
第二面
設計者（代表）
事務所名（番号）</t>
        </r>
        <r>
          <rPr>
            <sz val="9"/>
            <color indexed="81"/>
            <rFont val="MS P ゴシック"/>
            <charset val="128"/>
          </rPr>
          <t xml:space="preserve">
</t>
        </r>
      </text>
    </comment>
    <comment ref="G73" authorId="0" shapeId="0" xr:uid="{00000000-0006-0000-1D00-00001C000000}">
      <text>
        <r>
          <rPr>
            <b/>
            <sz val="9"/>
            <color indexed="81"/>
            <rFont val="MS P ゴシック"/>
            <charset val="128"/>
          </rPr>
          <t>【出力先】
第二面
設計者（代表）
事務所名</t>
        </r>
      </text>
    </comment>
    <comment ref="H74" authorId="0" shapeId="0" xr:uid="{00000000-0006-0000-1D00-00001D000000}">
      <text>
        <r>
          <rPr>
            <b/>
            <sz val="9"/>
            <color indexed="81"/>
            <rFont val="MS P ゴシック"/>
            <charset val="128"/>
          </rPr>
          <t>【出力先】
第二面
設計者（代表）
郵便番号</t>
        </r>
        <r>
          <rPr>
            <sz val="9"/>
            <color indexed="81"/>
            <rFont val="MS P ゴシック"/>
            <charset val="128"/>
          </rPr>
          <t xml:space="preserve">
</t>
        </r>
      </text>
    </comment>
    <comment ref="G75" authorId="0" shapeId="0" xr:uid="{00000000-0006-0000-1D00-00001E000000}">
      <text>
        <r>
          <rPr>
            <b/>
            <sz val="9"/>
            <color indexed="81"/>
            <rFont val="MS P ゴシック"/>
            <charset val="128"/>
          </rPr>
          <t>【出力先】
第二面
設計者（代表）
所在地</t>
        </r>
        <r>
          <rPr>
            <sz val="9"/>
            <color indexed="81"/>
            <rFont val="MS P ゴシック"/>
            <charset val="128"/>
          </rPr>
          <t xml:space="preserve">
</t>
        </r>
      </text>
    </comment>
    <comment ref="G77" authorId="0" shapeId="0" xr:uid="{00000000-0006-0000-1D00-00001F000000}">
      <text>
        <r>
          <rPr>
            <b/>
            <sz val="9"/>
            <color indexed="81"/>
            <rFont val="MS P ゴシック"/>
            <charset val="128"/>
          </rPr>
          <t>【出力先】
第二面
設計者（代表）
電話番号</t>
        </r>
        <r>
          <rPr>
            <sz val="9"/>
            <color indexed="81"/>
            <rFont val="MS P ゴシック"/>
            <charset val="128"/>
          </rPr>
          <t xml:space="preserve">
</t>
        </r>
      </text>
    </comment>
    <comment ref="J78" authorId="0" shapeId="0" xr:uid="{00000000-0006-0000-1D00-000020000000}">
      <text>
        <r>
          <rPr>
            <b/>
            <sz val="9"/>
            <color indexed="81"/>
            <rFont val="MS P ゴシック"/>
            <charset val="128"/>
          </rPr>
          <t>【出力先】
第二面
設計者（代表）
設計図書</t>
        </r>
        <r>
          <rPr>
            <sz val="9"/>
            <color indexed="81"/>
            <rFont val="MS P ゴシック"/>
            <charset val="128"/>
          </rPr>
          <t xml:space="preserve">
</t>
        </r>
      </text>
    </comment>
    <comment ref="G81" authorId="0" shapeId="0" xr:uid="{00000000-0006-0000-1D00-000021000000}">
      <text>
        <r>
          <rPr>
            <b/>
            <sz val="9"/>
            <color indexed="81"/>
            <rFont val="MS P ゴシック"/>
            <charset val="128"/>
          </rPr>
          <t>【出力先】
第二面
設計者（その他1）
資格</t>
        </r>
      </text>
    </comment>
    <comment ref="K81" authorId="0" shapeId="0" xr:uid="{00000000-0006-0000-1D00-000022000000}">
      <text>
        <r>
          <rPr>
            <b/>
            <sz val="9"/>
            <color indexed="81"/>
            <rFont val="MS P ゴシック"/>
            <charset val="128"/>
          </rPr>
          <t>【出力先】
第二面
設計者（その他1）
資格</t>
        </r>
        <r>
          <rPr>
            <sz val="9"/>
            <color indexed="81"/>
            <rFont val="MS P ゴシック"/>
            <charset val="128"/>
          </rPr>
          <t xml:space="preserve">
</t>
        </r>
      </text>
    </comment>
    <comment ref="Q81" authorId="0" shapeId="0" xr:uid="{00000000-0006-0000-1D00-000023000000}">
      <text>
        <r>
          <rPr>
            <b/>
            <sz val="9"/>
            <color indexed="81"/>
            <rFont val="MS P ゴシック"/>
            <charset val="128"/>
          </rPr>
          <t>【出力先】
第二面
設計者（その他1）
資格（番号）</t>
        </r>
      </text>
    </comment>
    <comment ref="G82" authorId="0" shapeId="0" xr:uid="{00000000-0006-0000-1D00-000024000000}">
      <text>
        <r>
          <rPr>
            <b/>
            <sz val="9"/>
            <color indexed="81"/>
            <rFont val="MS P ゴシック"/>
            <charset val="128"/>
          </rPr>
          <t>【出力先】
第二面
設計者（その他1）
氏名</t>
        </r>
        <r>
          <rPr>
            <sz val="9"/>
            <color indexed="81"/>
            <rFont val="MS P ゴシック"/>
            <charset val="128"/>
          </rPr>
          <t xml:space="preserve">
</t>
        </r>
      </text>
    </comment>
    <comment ref="G83" authorId="0" shapeId="0" xr:uid="{00000000-0006-0000-1D00-000025000000}">
      <text>
        <r>
          <rPr>
            <b/>
            <sz val="9"/>
            <color indexed="81"/>
            <rFont val="MS P ゴシック"/>
            <charset val="128"/>
          </rPr>
          <t>【出力先】
第二面
設計者（その他1）
事務所名</t>
        </r>
        <r>
          <rPr>
            <sz val="9"/>
            <color indexed="81"/>
            <rFont val="MS P ゴシック"/>
            <charset val="128"/>
          </rPr>
          <t xml:space="preserve">
</t>
        </r>
      </text>
    </comment>
    <comment ref="L83" authorId="0" shapeId="0" xr:uid="{00000000-0006-0000-1D00-000026000000}">
      <text>
        <r>
          <rPr>
            <b/>
            <sz val="9"/>
            <color indexed="81"/>
            <rFont val="MS P ゴシック"/>
            <charset val="128"/>
          </rPr>
          <t>【出力先】
第二面
設計者（その他1）
事務所名</t>
        </r>
      </text>
    </comment>
    <comment ref="R83" authorId="0" shapeId="0" xr:uid="{00000000-0006-0000-1D00-000027000000}">
      <text>
        <r>
          <rPr>
            <b/>
            <sz val="9"/>
            <color indexed="81"/>
            <rFont val="MS P ゴシック"/>
            <charset val="128"/>
          </rPr>
          <t>【出力先】
第二面
設計者（その他1）
事務所名（番号）</t>
        </r>
        <r>
          <rPr>
            <sz val="9"/>
            <color indexed="81"/>
            <rFont val="MS P ゴシック"/>
            <charset val="128"/>
          </rPr>
          <t xml:space="preserve">
</t>
        </r>
      </text>
    </comment>
    <comment ref="G84" authorId="0" shapeId="0" xr:uid="{00000000-0006-0000-1D00-000028000000}">
      <text>
        <r>
          <rPr>
            <b/>
            <sz val="9"/>
            <color indexed="81"/>
            <rFont val="MS P ゴシック"/>
            <charset val="128"/>
          </rPr>
          <t>【出力先】
第二面
設計者（その他1）
事務所名</t>
        </r>
      </text>
    </comment>
    <comment ref="H85" authorId="0" shapeId="0" xr:uid="{00000000-0006-0000-1D00-000029000000}">
      <text>
        <r>
          <rPr>
            <b/>
            <sz val="9"/>
            <color indexed="81"/>
            <rFont val="MS P ゴシック"/>
            <charset val="128"/>
          </rPr>
          <t>【出力先】
第二面
設計者（その他1）
郵便番号</t>
        </r>
        <r>
          <rPr>
            <sz val="9"/>
            <color indexed="81"/>
            <rFont val="MS P ゴシック"/>
            <charset val="128"/>
          </rPr>
          <t xml:space="preserve">
</t>
        </r>
      </text>
    </comment>
    <comment ref="G86" authorId="0" shapeId="0" xr:uid="{00000000-0006-0000-1D00-00002A000000}">
      <text>
        <r>
          <rPr>
            <b/>
            <sz val="9"/>
            <color indexed="81"/>
            <rFont val="MS P ゴシック"/>
            <charset val="128"/>
          </rPr>
          <t>【出力先】
第二面
設計者（その他1）
所在地</t>
        </r>
        <r>
          <rPr>
            <sz val="9"/>
            <color indexed="81"/>
            <rFont val="MS P ゴシック"/>
            <charset val="128"/>
          </rPr>
          <t xml:space="preserve">
</t>
        </r>
      </text>
    </comment>
    <comment ref="G88" authorId="0" shapeId="0" xr:uid="{00000000-0006-0000-1D00-00002B000000}">
      <text>
        <r>
          <rPr>
            <b/>
            <sz val="9"/>
            <color indexed="81"/>
            <rFont val="MS P ゴシック"/>
            <charset val="128"/>
          </rPr>
          <t>【出力先】
第二面
設計者（その他1）
電話番号</t>
        </r>
        <r>
          <rPr>
            <sz val="9"/>
            <color indexed="81"/>
            <rFont val="MS P ゴシック"/>
            <charset val="128"/>
          </rPr>
          <t xml:space="preserve">
</t>
        </r>
      </text>
    </comment>
    <comment ref="J89" authorId="0" shapeId="0" xr:uid="{00000000-0006-0000-1D00-00002C000000}">
      <text>
        <r>
          <rPr>
            <b/>
            <sz val="9"/>
            <color indexed="81"/>
            <rFont val="MS P ゴシック"/>
            <charset val="128"/>
          </rPr>
          <t>【出力先】
第二面
設計者（その他1）
設計図書</t>
        </r>
        <r>
          <rPr>
            <sz val="9"/>
            <color indexed="81"/>
            <rFont val="MS P ゴシック"/>
            <charset val="128"/>
          </rPr>
          <t xml:space="preserve">
</t>
        </r>
      </text>
    </comment>
    <comment ref="G91" authorId="0" shapeId="0" xr:uid="{00000000-0006-0000-1D00-00002D000000}">
      <text>
        <r>
          <rPr>
            <b/>
            <sz val="9"/>
            <color indexed="81"/>
            <rFont val="MS P ゴシック"/>
            <charset val="128"/>
          </rPr>
          <t>【出力先】
第二面
設計者（その他2）
資格</t>
        </r>
      </text>
    </comment>
    <comment ref="K91" authorId="0" shapeId="0" xr:uid="{00000000-0006-0000-1D00-00002E000000}">
      <text>
        <r>
          <rPr>
            <b/>
            <sz val="9"/>
            <color indexed="81"/>
            <rFont val="MS P ゴシック"/>
            <charset val="128"/>
          </rPr>
          <t>【出力先】
第二面
設計者（その他2）
資格</t>
        </r>
        <r>
          <rPr>
            <sz val="9"/>
            <color indexed="81"/>
            <rFont val="MS P ゴシック"/>
            <charset val="128"/>
          </rPr>
          <t xml:space="preserve">
</t>
        </r>
      </text>
    </comment>
    <comment ref="Q91" authorId="0" shapeId="0" xr:uid="{00000000-0006-0000-1D00-00002F000000}">
      <text>
        <r>
          <rPr>
            <b/>
            <sz val="9"/>
            <color indexed="81"/>
            <rFont val="MS P ゴシック"/>
            <charset val="128"/>
          </rPr>
          <t>【出力先】
第二面
設計者（その他2）
資格（番号）</t>
        </r>
      </text>
    </comment>
    <comment ref="G92" authorId="0" shapeId="0" xr:uid="{00000000-0006-0000-1D00-000030000000}">
      <text>
        <r>
          <rPr>
            <b/>
            <sz val="9"/>
            <color indexed="81"/>
            <rFont val="MS P ゴシック"/>
            <charset val="128"/>
          </rPr>
          <t>【出力先】
第二面
設計者（その他2）
氏名</t>
        </r>
        <r>
          <rPr>
            <sz val="9"/>
            <color indexed="81"/>
            <rFont val="MS P ゴシック"/>
            <charset val="128"/>
          </rPr>
          <t xml:space="preserve">
</t>
        </r>
      </text>
    </comment>
    <comment ref="G93" authorId="0" shapeId="0" xr:uid="{00000000-0006-0000-1D00-000031000000}">
      <text>
        <r>
          <rPr>
            <b/>
            <sz val="9"/>
            <color indexed="81"/>
            <rFont val="MS P ゴシック"/>
            <charset val="128"/>
          </rPr>
          <t>【出力先】
第二面
設計者（その他2）
事務所名</t>
        </r>
        <r>
          <rPr>
            <sz val="9"/>
            <color indexed="81"/>
            <rFont val="MS P ゴシック"/>
            <charset val="128"/>
          </rPr>
          <t xml:space="preserve">
</t>
        </r>
      </text>
    </comment>
    <comment ref="L93" authorId="0" shapeId="0" xr:uid="{00000000-0006-0000-1D00-000032000000}">
      <text>
        <r>
          <rPr>
            <b/>
            <sz val="9"/>
            <color indexed="81"/>
            <rFont val="MS P ゴシック"/>
            <charset val="128"/>
          </rPr>
          <t>【出力先】
第二面
設計者（その他2）
事務所名</t>
        </r>
      </text>
    </comment>
    <comment ref="R93" authorId="0" shapeId="0" xr:uid="{00000000-0006-0000-1D00-000033000000}">
      <text>
        <r>
          <rPr>
            <b/>
            <sz val="9"/>
            <color indexed="81"/>
            <rFont val="MS P ゴシック"/>
            <charset val="128"/>
          </rPr>
          <t>【出力先】
第二面
設計者（その他2）
事務所名（番号）</t>
        </r>
        <r>
          <rPr>
            <sz val="9"/>
            <color indexed="81"/>
            <rFont val="MS P ゴシック"/>
            <charset val="128"/>
          </rPr>
          <t xml:space="preserve">
</t>
        </r>
      </text>
    </comment>
    <comment ref="G94" authorId="0" shapeId="0" xr:uid="{00000000-0006-0000-1D00-000034000000}">
      <text>
        <r>
          <rPr>
            <b/>
            <sz val="9"/>
            <color indexed="81"/>
            <rFont val="MS P ゴシック"/>
            <charset val="128"/>
          </rPr>
          <t>【出力先】
第二面
設計者（その他2）
事務所名</t>
        </r>
      </text>
    </comment>
    <comment ref="H95" authorId="0" shapeId="0" xr:uid="{00000000-0006-0000-1D00-000035000000}">
      <text>
        <r>
          <rPr>
            <b/>
            <sz val="9"/>
            <color indexed="81"/>
            <rFont val="MS P ゴシック"/>
            <charset val="128"/>
          </rPr>
          <t>【出力先】
第二面
設計者（その他2）
郵便番号</t>
        </r>
        <r>
          <rPr>
            <sz val="9"/>
            <color indexed="81"/>
            <rFont val="MS P ゴシック"/>
            <charset val="128"/>
          </rPr>
          <t xml:space="preserve">
</t>
        </r>
      </text>
    </comment>
    <comment ref="G96" authorId="0" shapeId="0" xr:uid="{00000000-0006-0000-1D00-000036000000}">
      <text>
        <r>
          <rPr>
            <b/>
            <sz val="9"/>
            <color indexed="81"/>
            <rFont val="MS P ゴシック"/>
            <charset val="128"/>
          </rPr>
          <t>【出力先】
第二面
設計者（その他2）
所在地</t>
        </r>
        <r>
          <rPr>
            <sz val="9"/>
            <color indexed="81"/>
            <rFont val="MS P ゴシック"/>
            <charset val="128"/>
          </rPr>
          <t xml:space="preserve">
</t>
        </r>
      </text>
    </comment>
    <comment ref="G98" authorId="0" shapeId="0" xr:uid="{00000000-0006-0000-1D00-000037000000}">
      <text>
        <r>
          <rPr>
            <b/>
            <sz val="9"/>
            <color indexed="81"/>
            <rFont val="MS P ゴシック"/>
            <charset val="128"/>
          </rPr>
          <t>【出力先】
第二面
設計者（その他2）
電話番号</t>
        </r>
        <r>
          <rPr>
            <sz val="9"/>
            <color indexed="81"/>
            <rFont val="MS P ゴシック"/>
            <charset val="128"/>
          </rPr>
          <t xml:space="preserve">
</t>
        </r>
      </text>
    </comment>
    <comment ref="J99" authorId="0" shapeId="0" xr:uid="{00000000-0006-0000-1D00-000038000000}">
      <text>
        <r>
          <rPr>
            <b/>
            <sz val="9"/>
            <color indexed="81"/>
            <rFont val="MS P ゴシック"/>
            <charset val="128"/>
          </rPr>
          <t>【出力先】
第二面
設計者（その他2）
設計図書</t>
        </r>
        <r>
          <rPr>
            <sz val="9"/>
            <color indexed="81"/>
            <rFont val="MS P ゴシック"/>
            <charset val="128"/>
          </rPr>
          <t xml:space="preserve">
</t>
        </r>
      </text>
    </comment>
    <comment ref="G101" authorId="0" shapeId="0" xr:uid="{00000000-0006-0000-1D00-000039000000}">
      <text>
        <r>
          <rPr>
            <b/>
            <sz val="9"/>
            <color indexed="81"/>
            <rFont val="MS P ゴシック"/>
            <charset val="128"/>
          </rPr>
          <t>【出力先】
第二面
設計者（その他3）
資格</t>
        </r>
      </text>
    </comment>
    <comment ref="K101" authorId="0" shapeId="0" xr:uid="{00000000-0006-0000-1D00-00003A000000}">
      <text>
        <r>
          <rPr>
            <b/>
            <sz val="9"/>
            <color indexed="81"/>
            <rFont val="MS P ゴシック"/>
            <charset val="128"/>
          </rPr>
          <t>【出力先】
第二面
設計者（その他3）
資格</t>
        </r>
        <r>
          <rPr>
            <sz val="9"/>
            <color indexed="81"/>
            <rFont val="MS P ゴシック"/>
            <charset val="128"/>
          </rPr>
          <t xml:space="preserve">
</t>
        </r>
      </text>
    </comment>
    <comment ref="Q101" authorId="0" shapeId="0" xr:uid="{00000000-0006-0000-1D00-00003B000000}">
      <text>
        <r>
          <rPr>
            <b/>
            <sz val="9"/>
            <color indexed="81"/>
            <rFont val="MS P ゴシック"/>
            <charset val="128"/>
          </rPr>
          <t>【出力先】
第二面
設計者（その他3）
資格（番号）</t>
        </r>
      </text>
    </comment>
    <comment ref="G102" authorId="0" shapeId="0" xr:uid="{00000000-0006-0000-1D00-00003C000000}">
      <text>
        <r>
          <rPr>
            <b/>
            <sz val="9"/>
            <color indexed="81"/>
            <rFont val="MS P ゴシック"/>
            <charset val="128"/>
          </rPr>
          <t>【出力先】
第二面
設計者（その他3）
氏名</t>
        </r>
        <r>
          <rPr>
            <sz val="9"/>
            <color indexed="81"/>
            <rFont val="MS P ゴシック"/>
            <charset val="128"/>
          </rPr>
          <t xml:space="preserve">
</t>
        </r>
      </text>
    </comment>
    <comment ref="G103" authorId="0" shapeId="0" xr:uid="{00000000-0006-0000-1D00-00003D000000}">
      <text>
        <r>
          <rPr>
            <b/>
            <sz val="9"/>
            <color indexed="81"/>
            <rFont val="MS P ゴシック"/>
            <charset val="128"/>
          </rPr>
          <t>【出力先】
第二面
設計者（その他3）
事務所名</t>
        </r>
        <r>
          <rPr>
            <sz val="9"/>
            <color indexed="81"/>
            <rFont val="MS P ゴシック"/>
            <charset val="128"/>
          </rPr>
          <t xml:space="preserve">
</t>
        </r>
      </text>
    </comment>
    <comment ref="L103" authorId="0" shapeId="0" xr:uid="{00000000-0006-0000-1D00-00003E000000}">
      <text>
        <r>
          <rPr>
            <b/>
            <sz val="9"/>
            <color indexed="81"/>
            <rFont val="MS P ゴシック"/>
            <charset val="128"/>
          </rPr>
          <t>【出力先】
第二面
設計者（その他3）
事務所名</t>
        </r>
      </text>
    </comment>
    <comment ref="R103" authorId="0" shapeId="0" xr:uid="{00000000-0006-0000-1D00-00003F000000}">
      <text>
        <r>
          <rPr>
            <b/>
            <sz val="9"/>
            <color indexed="81"/>
            <rFont val="MS P ゴシック"/>
            <charset val="128"/>
          </rPr>
          <t>【出力先】
第二面
設計者（その他3）
事務所名（番号）</t>
        </r>
        <r>
          <rPr>
            <sz val="9"/>
            <color indexed="81"/>
            <rFont val="MS P ゴシック"/>
            <charset val="128"/>
          </rPr>
          <t xml:space="preserve">
</t>
        </r>
      </text>
    </comment>
    <comment ref="G104" authorId="0" shapeId="0" xr:uid="{00000000-0006-0000-1D00-000040000000}">
      <text>
        <r>
          <rPr>
            <b/>
            <sz val="9"/>
            <color indexed="81"/>
            <rFont val="MS P ゴシック"/>
            <charset val="128"/>
          </rPr>
          <t>【出力先】
第二面
設計者（その他2）
事務所名</t>
        </r>
      </text>
    </comment>
    <comment ref="H105" authorId="0" shapeId="0" xr:uid="{00000000-0006-0000-1D00-000041000000}">
      <text>
        <r>
          <rPr>
            <b/>
            <sz val="9"/>
            <color indexed="81"/>
            <rFont val="MS P ゴシック"/>
            <charset val="128"/>
          </rPr>
          <t>【出力先】
第二面
設計者（その他3）
郵便番号</t>
        </r>
        <r>
          <rPr>
            <sz val="9"/>
            <color indexed="81"/>
            <rFont val="MS P ゴシック"/>
            <charset val="128"/>
          </rPr>
          <t xml:space="preserve">
</t>
        </r>
      </text>
    </comment>
    <comment ref="G106" authorId="0" shapeId="0" xr:uid="{00000000-0006-0000-1D00-000042000000}">
      <text>
        <r>
          <rPr>
            <b/>
            <sz val="9"/>
            <color indexed="81"/>
            <rFont val="MS P ゴシック"/>
            <charset val="128"/>
          </rPr>
          <t>【出力先】
第二面
設計者（その他3）
所在地</t>
        </r>
        <r>
          <rPr>
            <sz val="9"/>
            <color indexed="81"/>
            <rFont val="MS P ゴシック"/>
            <charset val="128"/>
          </rPr>
          <t xml:space="preserve">
</t>
        </r>
      </text>
    </comment>
    <comment ref="G108" authorId="0" shapeId="0" xr:uid="{00000000-0006-0000-1D00-000043000000}">
      <text>
        <r>
          <rPr>
            <b/>
            <sz val="9"/>
            <color indexed="81"/>
            <rFont val="MS P ゴシック"/>
            <charset val="128"/>
          </rPr>
          <t>【出力先】
第二面
設計者（その他3）
電話番号</t>
        </r>
        <r>
          <rPr>
            <sz val="9"/>
            <color indexed="81"/>
            <rFont val="MS P ゴシック"/>
            <charset val="128"/>
          </rPr>
          <t xml:space="preserve">
</t>
        </r>
      </text>
    </comment>
    <comment ref="J109" authorId="0" shapeId="0" xr:uid="{00000000-0006-0000-1D00-000044000000}">
      <text>
        <r>
          <rPr>
            <b/>
            <sz val="9"/>
            <color indexed="81"/>
            <rFont val="MS P ゴシック"/>
            <charset val="128"/>
          </rPr>
          <t>【出力先】
第二面
設計者（その他3）
設計図書</t>
        </r>
        <r>
          <rPr>
            <sz val="9"/>
            <color indexed="81"/>
            <rFont val="MS P ゴシック"/>
            <charset val="128"/>
          </rPr>
          <t xml:space="preserve">
</t>
        </r>
      </text>
    </comment>
    <comment ref="G113" authorId="0" shapeId="0" xr:uid="{00000000-0006-0000-1D00-000045000000}">
      <text>
        <r>
          <rPr>
            <b/>
            <sz val="9"/>
            <color indexed="81"/>
            <rFont val="MS P ゴシック"/>
            <charset val="128"/>
          </rPr>
          <t>【出力先】
第二面
工事監理者（代表）
資格</t>
        </r>
      </text>
    </comment>
    <comment ref="K113" authorId="0" shapeId="0" xr:uid="{00000000-0006-0000-1D00-000046000000}">
      <text>
        <r>
          <rPr>
            <b/>
            <sz val="9"/>
            <color indexed="81"/>
            <rFont val="MS P ゴシック"/>
            <charset val="128"/>
          </rPr>
          <t>【出力先】
第二面
工事監理者（代表）
資格</t>
        </r>
        <r>
          <rPr>
            <sz val="9"/>
            <color indexed="81"/>
            <rFont val="MS P ゴシック"/>
            <charset val="128"/>
          </rPr>
          <t xml:space="preserve">
</t>
        </r>
      </text>
    </comment>
    <comment ref="Q113" authorId="0" shapeId="0" xr:uid="{00000000-0006-0000-1D00-000047000000}">
      <text>
        <r>
          <rPr>
            <b/>
            <sz val="9"/>
            <color indexed="81"/>
            <rFont val="MS P ゴシック"/>
            <charset val="128"/>
          </rPr>
          <t>【出力先】
第二面
工事監理者（代表）
資格（番号）</t>
        </r>
      </text>
    </comment>
    <comment ref="G114" authorId="0" shapeId="0" xr:uid="{00000000-0006-0000-1D00-000048000000}">
      <text>
        <r>
          <rPr>
            <b/>
            <sz val="9"/>
            <color indexed="81"/>
            <rFont val="MS P ゴシック"/>
            <charset val="128"/>
          </rPr>
          <t>【出力先】
第二面
工事監理者（代表）
氏名</t>
        </r>
        <r>
          <rPr>
            <sz val="9"/>
            <color indexed="81"/>
            <rFont val="MS P ゴシック"/>
            <charset val="128"/>
          </rPr>
          <t xml:space="preserve">
</t>
        </r>
      </text>
    </comment>
    <comment ref="G115" authorId="0" shapeId="0" xr:uid="{00000000-0006-0000-1D00-000049000000}">
      <text>
        <r>
          <rPr>
            <b/>
            <sz val="9"/>
            <color indexed="81"/>
            <rFont val="MS P ゴシック"/>
            <charset val="128"/>
          </rPr>
          <t>【出力先】
第二面
工事監理者（代表）
事務所名</t>
        </r>
        <r>
          <rPr>
            <sz val="9"/>
            <color indexed="81"/>
            <rFont val="MS P ゴシック"/>
            <charset val="128"/>
          </rPr>
          <t xml:space="preserve">
</t>
        </r>
      </text>
    </comment>
    <comment ref="L115" authorId="0" shapeId="0" xr:uid="{00000000-0006-0000-1D00-00004A000000}">
      <text>
        <r>
          <rPr>
            <b/>
            <sz val="9"/>
            <color indexed="81"/>
            <rFont val="MS P ゴシック"/>
            <charset val="128"/>
          </rPr>
          <t>【出力先】
第二面
工事監理者（代表）
事務所名</t>
        </r>
      </text>
    </comment>
    <comment ref="R115" authorId="0" shapeId="0" xr:uid="{00000000-0006-0000-1D00-00004B000000}">
      <text>
        <r>
          <rPr>
            <b/>
            <sz val="9"/>
            <color indexed="81"/>
            <rFont val="MS P ゴシック"/>
            <charset val="128"/>
          </rPr>
          <t>【出力先】
第二面
工事監理者（代表）
事務所名（番号）</t>
        </r>
        <r>
          <rPr>
            <sz val="9"/>
            <color indexed="81"/>
            <rFont val="MS P ゴシック"/>
            <charset val="128"/>
          </rPr>
          <t xml:space="preserve">
</t>
        </r>
      </text>
    </comment>
    <comment ref="G116" authorId="0" shapeId="0" xr:uid="{00000000-0006-0000-1D00-00004C000000}">
      <text>
        <r>
          <rPr>
            <b/>
            <sz val="9"/>
            <color indexed="81"/>
            <rFont val="MS P ゴシック"/>
            <charset val="128"/>
          </rPr>
          <t>【出力先】
第二面
工事監理者（代表）
事務所名</t>
        </r>
      </text>
    </comment>
    <comment ref="H117" authorId="0" shapeId="0" xr:uid="{00000000-0006-0000-1D00-00004D000000}">
      <text>
        <r>
          <rPr>
            <b/>
            <sz val="9"/>
            <color indexed="81"/>
            <rFont val="MS P ゴシック"/>
            <charset val="128"/>
          </rPr>
          <t>【出力先】
第二面
設計者（代表）
郵便番号</t>
        </r>
        <r>
          <rPr>
            <sz val="9"/>
            <color indexed="81"/>
            <rFont val="MS P ゴシック"/>
            <charset val="128"/>
          </rPr>
          <t xml:space="preserve">
</t>
        </r>
      </text>
    </comment>
    <comment ref="G118" authorId="0" shapeId="0" xr:uid="{00000000-0006-0000-1D00-00004E000000}">
      <text>
        <r>
          <rPr>
            <b/>
            <sz val="9"/>
            <color indexed="81"/>
            <rFont val="MS P ゴシック"/>
            <charset val="128"/>
          </rPr>
          <t>【出力先】
第二面
工事監理者（代表）
所在地</t>
        </r>
        <r>
          <rPr>
            <sz val="9"/>
            <color indexed="81"/>
            <rFont val="MS P ゴシック"/>
            <charset val="128"/>
          </rPr>
          <t xml:space="preserve">
</t>
        </r>
      </text>
    </comment>
    <comment ref="G120" authorId="0" shapeId="0" xr:uid="{00000000-0006-0000-1D00-00004F000000}">
      <text>
        <r>
          <rPr>
            <b/>
            <sz val="9"/>
            <color indexed="81"/>
            <rFont val="MS P ゴシック"/>
            <charset val="128"/>
          </rPr>
          <t>【出力先】
第二面
工事監理者（代表）
電話番号</t>
        </r>
        <r>
          <rPr>
            <sz val="9"/>
            <color indexed="81"/>
            <rFont val="MS P ゴシック"/>
            <charset val="128"/>
          </rPr>
          <t xml:space="preserve">
</t>
        </r>
      </text>
    </comment>
    <comment ref="J121" authorId="0" shapeId="0" xr:uid="{00000000-0006-0000-1D00-000050000000}">
      <text>
        <r>
          <rPr>
            <b/>
            <sz val="9"/>
            <color indexed="81"/>
            <rFont val="MS P ゴシック"/>
            <charset val="128"/>
          </rPr>
          <t>【出力先】
第二面
工事監理者（代表）
設計図書</t>
        </r>
        <r>
          <rPr>
            <sz val="9"/>
            <color indexed="81"/>
            <rFont val="MS P ゴシック"/>
            <charset val="128"/>
          </rPr>
          <t xml:space="preserve">
</t>
        </r>
      </text>
    </comment>
    <comment ref="G124" authorId="0" shapeId="0" xr:uid="{00000000-0006-0000-1D00-000051000000}">
      <text>
        <r>
          <rPr>
            <b/>
            <sz val="9"/>
            <color indexed="81"/>
            <rFont val="MS P ゴシック"/>
            <charset val="128"/>
          </rPr>
          <t>【出力先】
第二面
工事監理者（その他1）
資格</t>
        </r>
      </text>
    </comment>
    <comment ref="K124" authorId="0" shapeId="0" xr:uid="{00000000-0006-0000-1D00-000052000000}">
      <text>
        <r>
          <rPr>
            <b/>
            <sz val="9"/>
            <color indexed="81"/>
            <rFont val="MS P ゴシック"/>
            <charset val="128"/>
          </rPr>
          <t>【出力先】
第二面
工事監理者（その他1）
資格</t>
        </r>
        <r>
          <rPr>
            <sz val="9"/>
            <color indexed="81"/>
            <rFont val="MS P ゴシック"/>
            <charset val="128"/>
          </rPr>
          <t xml:space="preserve">
</t>
        </r>
      </text>
    </comment>
    <comment ref="Q124" authorId="0" shapeId="0" xr:uid="{00000000-0006-0000-1D00-000053000000}">
      <text>
        <r>
          <rPr>
            <b/>
            <sz val="9"/>
            <color indexed="81"/>
            <rFont val="MS P ゴシック"/>
            <charset val="128"/>
          </rPr>
          <t>【出力先】
第二面
工事監理者（その他1）
資格（番号）</t>
        </r>
      </text>
    </comment>
    <comment ref="G125" authorId="0" shapeId="0" xr:uid="{00000000-0006-0000-1D00-000054000000}">
      <text>
        <r>
          <rPr>
            <b/>
            <sz val="9"/>
            <color indexed="81"/>
            <rFont val="MS P ゴシック"/>
            <charset val="128"/>
          </rPr>
          <t>【出力先】
第二面
工事監理者（その他1）
氏名</t>
        </r>
        <r>
          <rPr>
            <sz val="9"/>
            <color indexed="81"/>
            <rFont val="MS P ゴシック"/>
            <charset val="128"/>
          </rPr>
          <t xml:space="preserve">
</t>
        </r>
      </text>
    </comment>
    <comment ref="G126" authorId="0" shapeId="0" xr:uid="{00000000-0006-0000-1D00-000055000000}">
      <text>
        <r>
          <rPr>
            <b/>
            <sz val="9"/>
            <color indexed="81"/>
            <rFont val="MS P ゴシック"/>
            <charset val="128"/>
          </rPr>
          <t>【出力先】
第二面
工事監理者（その他1）
事務所名</t>
        </r>
        <r>
          <rPr>
            <sz val="9"/>
            <color indexed="81"/>
            <rFont val="MS P ゴシック"/>
            <charset val="128"/>
          </rPr>
          <t xml:space="preserve">
</t>
        </r>
      </text>
    </comment>
    <comment ref="L126" authorId="0" shapeId="0" xr:uid="{00000000-0006-0000-1D00-000056000000}">
      <text>
        <r>
          <rPr>
            <b/>
            <sz val="9"/>
            <color indexed="81"/>
            <rFont val="MS P ゴシック"/>
            <charset val="128"/>
          </rPr>
          <t>【出力先】
第二面
工事監理者（その他1）
事務所名</t>
        </r>
      </text>
    </comment>
    <comment ref="R126" authorId="0" shapeId="0" xr:uid="{00000000-0006-0000-1D00-000057000000}">
      <text>
        <r>
          <rPr>
            <b/>
            <sz val="9"/>
            <color indexed="81"/>
            <rFont val="MS P ゴシック"/>
            <charset val="128"/>
          </rPr>
          <t>【出力先】
第二面
工事監理者（その他1）
事務所名（番号）</t>
        </r>
        <r>
          <rPr>
            <sz val="9"/>
            <color indexed="81"/>
            <rFont val="MS P ゴシック"/>
            <charset val="128"/>
          </rPr>
          <t xml:space="preserve">
</t>
        </r>
      </text>
    </comment>
    <comment ref="G127" authorId="0" shapeId="0" xr:uid="{00000000-0006-0000-1D00-000058000000}">
      <text>
        <r>
          <rPr>
            <b/>
            <sz val="9"/>
            <color indexed="81"/>
            <rFont val="MS P ゴシック"/>
            <charset val="128"/>
          </rPr>
          <t>【出力先】
第二面
工事監理者（その他1）
事務所名</t>
        </r>
      </text>
    </comment>
    <comment ref="H128" authorId="0" shapeId="0" xr:uid="{00000000-0006-0000-1D00-000059000000}">
      <text>
        <r>
          <rPr>
            <b/>
            <sz val="9"/>
            <color indexed="81"/>
            <rFont val="MS P ゴシック"/>
            <charset val="128"/>
          </rPr>
          <t>【出力先】
第二面
工事監理者（その他1）
郵便番号</t>
        </r>
        <r>
          <rPr>
            <sz val="9"/>
            <color indexed="81"/>
            <rFont val="MS P ゴシック"/>
            <charset val="128"/>
          </rPr>
          <t xml:space="preserve">
</t>
        </r>
      </text>
    </comment>
    <comment ref="G129" authorId="0" shapeId="0" xr:uid="{00000000-0006-0000-1D00-00005A000000}">
      <text>
        <r>
          <rPr>
            <b/>
            <sz val="9"/>
            <color indexed="81"/>
            <rFont val="MS P ゴシック"/>
            <charset val="128"/>
          </rPr>
          <t>【出力先】
第二面
工事監理者（その他1）
所在地</t>
        </r>
        <r>
          <rPr>
            <sz val="9"/>
            <color indexed="81"/>
            <rFont val="MS P ゴシック"/>
            <charset val="128"/>
          </rPr>
          <t xml:space="preserve">
</t>
        </r>
      </text>
    </comment>
    <comment ref="G131" authorId="0" shapeId="0" xr:uid="{00000000-0006-0000-1D00-00005B000000}">
      <text>
        <r>
          <rPr>
            <b/>
            <sz val="9"/>
            <color indexed="81"/>
            <rFont val="MS P ゴシック"/>
            <charset val="128"/>
          </rPr>
          <t>【出力先】
第二面
工事監理者（その他1）
電話番号</t>
        </r>
        <r>
          <rPr>
            <sz val="9"/>
            <color indexed="81"/>
            <rFont val="MS P ゴシック"/>
            <charset val="128"/>
          </rPr>
          <t xml:space="preserve">
</t>
        </r>
      </text>
    </comment>
    <comment ref="J132" authorId="0" shapeId="0" xr:uid="{00000000-0006-0000-1D00-00005C000000}">
      <text>
        <r>
          <rPr>
            <b/>
            <sz val="9"/>
            <color indexed="81"/>
            <rFont val="MS P ゴシック"/>
            <charset val="128"/>
          </rPr>
          <t>【出力先】
第二面
工事監理者（その他1）
設計図書</t>
        </r>
        <r>
          <rPr>
            <sz val="9"/>
            <color indexed="81"/>
            <rFont val="MS P ゴシック"/>
            <charset val="128"/>
          </rPr>
          <t xml:space="preserve">
</t>
        </r>
      </text>
    </comment>
    <comment ref="G134" authorId="0" shapeId="0" xr:uid="{00000000-0006-0000-1D00-00005D000000}">
      <text>
        <r>
          <rPr>
            <b/>
            <sz val="9"/>
            <color indexed="81"/>
            <rFont val="MS P ゴシック"/>
            <charset val="128"/>
          </rPr>
          <t>【出力先】
第二面
工事監理者（その他2）
資格</t>
        </r>
      </text>
    </comment>
    <comment ref="K134" authorId="0" shapeId="0" xr:uid="{00000000-0006-0000-1D00-00005E000000}">
      <text>
        <r>
          <rPr>
            <b/>
            <sz val="9"/>
            <color indexed="81"/>
            <rFont val="MS P ゴシック"/>
            <charset val="128"/>
          </rPr>
          <t>【出力先】
第二面
工事監理者（その他2）
資格</t>
        </r>
        <r>
          <rPr>
            <sz val="9"/>
            <color indexed="81"/>
            <rFont val="MS P ゴシック"/>
            <charset val="128"/>
          </rPr>
          <t xml:space="preserve">
</t>
        </r>
      </text>
    </comment>
    <comment ref="Q134" authorId="0" shapeId="0" xr:uid="{00000000-0006-0000-1D00-00005F000000}">
      <text>
        <r>
          <rPr>
            <b/>
            <sz val="9"/>
            <color indexed="81"/>
            <rFont val="MS P ゴシック"/>
            <charset val="128"/>
          </rPr>
          <t>【出力先】
第二面
工事監理者（その他2）
資格（番号）</t>
        </r>
      </text>
    </comment>
    <comment ref="G135" authorId="0" shapeId="0" xr:uid="{00000000-0006-0000-1D00-000060000000}">
      <text>
        <r>
          <rPr>
            <b/>
            <sz val="9"/>
            <color indexed="81"/>
            <rFont val="MS P ゴシック"/>
            <charset val="128"/>
          </rPr>
          <t>【出力先】
第二面
工事監理者（その他2）
氏名</t>
        </r>
        <r>
          <rPr>
            <sz val="9"/>
            <color indexed="81"/>
            <rFont val="MS P ゴシック"/>
            <charset val="128"/>
          </rPr>
          <t xml:space="preserve">
</t>
        </r>
      </text>
    </comment>
    <comment ref="G136" authorId="0" shapeId="0" xr:uid="{00000000-0006-0000-1D00-000061000000}">
      <text>
        <r>
          <rPr>
            <b/>
            <sz val="9"/>
            <color indexed="81"/>
            <rFont val="MS P ゴシック"/>
            <charset val="128"/>
          </rPr>
          <t>【出力先】
第二面
工事監理者（その他2）
事務所名</t>
        </r>
        <r>
          <rPr>
            <sz val="9"/>
            <color indexed="81"/>
            <rFont val="MS P ゴシック"/>
            <charset val="128"/>
          </rPr>
          <t xml:space="preserve">
</t>
        </r>
      </text>
    </comment>
    <comment ref="L136" authorId="0" shapeId="0" xr:uid="{00000000-0006-0000-1D00-000062000000}">
      <text>
        <r>
          <rPr>
            <b/>
            <sz val="9"/>
            <color indexed="81"/>
            <rFont val="MS P ゴシック"/>
            <charset val="128"/>
          </rPr>
          <t>【出力先】
第二面
工事監理者（その他2）
事務所名</t>
        </r>
      </text>
    </comment>
    <comment ref="R136" authorId="0" shapeId="0" xr:uid="{00000000-0006-0000-1D00-000063000000}">
      <text>
        <r>
          <rPr>
            <b/>
            <sz val="9"/>
            <color indexed="81"/>
            <rFont val="MS P ゴシック"/>
            <charset val="128"/>
          </rPr>
          <t>【出力先】
第二面
工事監理者（その他2）
事務所名（番号）</t>
        </r>
        <r>
          <rPr>
            <sz val="9"/>
            <color indexed="81"/>
            <rFont val="MS P ゴシック"/>
            <charset val="128"/>
          </rPr>
          <t xml:space="preserve">
</t>
        </r>
      </text>
    </comment>
    <comment ref="G137" authorId="0" shapeId="0" xr:uid="{00000000-0006-0000-1D00-000064000000}">
      <text>
        <r>
          <rPr>
            <b/>
            <sz val="9"/>
            <color indexed="81"/>
            <rFont val="MS P ゴシック"/>
            <charset val="128"/>
          </rPr>
          <t>【出力先】
第二面
工事監理者（その他2）
事務所名</t>
        </r>
      </text>
    </comment>
    <comment ref="H138" authorId="0" shapeId="0" xr:uid="{00000000-0006-0000-1D00-000065000000}">
      <text>
        <r>
          <rPr>
            <b/>
            <sz val="9"/>
            <color indexed="81"/>
            <rFont val="MS P ゴシック"/>
            <charset val="128"/>
          </rPr>
          <t>【出力先】
第二面
工事監理者（その他2）
郵便番号</t>
        </r>
        <r>
          <rPr>
            <sz val="9"/>
            <color indexed="81"/>
            <rFont val="MS P ゴシック"/>
            <charset val="128"/>
          </rPr>
          <t xml:space="preserve">
</t>
        </r>
      </text>
    </comment>
    <comment ref="G139" authorId="0" shapeId="0" xr:uid="{00000000-0006-0000-1D00-000066000000}">
      <text>
        <r>
          <rPr>
            <b/>
            <sz val="9"/>
            <color indexed="81"/>
            <rFont val="MS P ゴシック"/>
            <charset val="128"/>
          </rPr>
          <t>【出力先】
第二面
工事監理者（その他1）
所在地</t>
        </r>
        <r>
          <rPr>
            <sz val="9"/>
            <color indexed="81"/>
            <rFont val="MS P ゴシック"/>
            <charset val="128"/>
          </rPr>
          <t xml:space="preserve">
</t>
        </r>
      </text>
    </comment>
    <comment ref="G141" authorId="0" shapeId="0" xr:uid="{00000000-0006-0000-1D00-000067000000}">
      <text>
        <r>
          <rPr>
            <b/>
            <sz val="9"/>
            <color indexed="81"/>
            <rFont val="MS P ゴシック"/>
            <charset val="128"/>
          </rPr>
          <t>【出力先】
第二面
工事監理者（その他2）
電話番号</t>
        </r>
        <r>
          <rPr>
            <sz val="9"/>
            <color indexed="81"/>
            <rFont val="MS P ゴシック"/>
            <charset val="128"/>
          </rPr>
          <t xml:space="preserve">
</t>
        </r>
      </text>
    </comment>
    <comment ref="J142" authorId="0" shapeId="0" xr:uid="{00000000-0006-0000-1D00-000068000000}">
      <text>
        <r>
          <rPr>
            <b/>
            <sz val="9"/>
            <color indexed="81"/>
            <rFont val="MS P ゴシック"/>
            <charset val="128"/>
          </rPr>
          <t>【出力先】
第二面
工事監理者（その他2）
設計図書</t>
        </r>
        <r>
          <rPr>
            <sz val="9"/>
            <color indexed="81"/>
            <rFont val="MS P ゴシック"/>
            <charset val="128"/>
          </rPr>
          <t xml:space="preserve">
</t>
        </r>
      </text>
    </comment>
    <comment ref="G144" authorId="0" shapeId="0" xr:uid="{00000000-0006-0000-1D00-000069000000}">
      <text>
        <r>
          <rPr>
            <b/>
            <sz val="9"/>
            <color indexed="81"/>
            <rFont val="MS P ゴシック"/>
            <charset val="128"/>
          </rPr>
          <t>【出力先】
第二面
工事監理者（その他3）
資格</t>
        </r>
      </text>
    </comment>
    <comment ref="K144" authorId="0" shapeId="0" xr:uid="{00000000-0006-0000-1D00-00006A000000}">
      <text>
        <r>
          <rPr>
            <b/>
            <sz val="9"/>
            <color indexed="81"/>
            <rFont val="MS P ゴシック"/>
            <charset val="128"/>
          </rPr>
          <t>【出力先】
第二面
工事監理者（その他3）
資格</t>
        </r>
        <r>
          <rPr>
            <sz val="9"/>
            <color indexed="81"/>
            <rFont val="MS P ゴシック"/>
            <charset val="128"/>
          </rPr>
          <t xml:space="preserve">
</t>
        </r>
      </text>
    </comment>
    <comment ref="Q144" authorId="0" shapeId="0" xr:uid="{00000000-0006-0000-1D00-00006B000000}">
      <text>
        <r>
          <rPr>
            <b/>
            <sz val="9"/>
            <color indexed="81"/>
            <rFont val="MS P ゴシック"/>
            <charset val="128"/>
          </rPr>
          <t>【出力先】
第二面
工事監理者（その他3）
資格（番号）</t>
        </r>
      </text>
    </comment>
    <comment ref="G145" authorId="0" shapeId="0" xr:uid="{00000000-0006-0000-1D00-00006C000000}">
      <text>
        <r>
          <rPr>
            <b/>
            <sz val="9"/>
            <color indexed="81"/>
            <rFont val="MS P ゴシック"/>
            <charset val="128"/>
          </rPr>
          <t>【出力先】
第二面
工事監理者（その他3）
氏名</t>
        </r>
        <r>
          <rPr>
            <sz val="9"/>
            <color indexed="81"/>
            <rFont val="MS P ゴシック"/>
            <charset val="128"/>
          </rPr>
          <t xml:space="preserve">
</t>
        </r>
      </text>
    </comment>
    <comment ref="G146" authorId="0" shapeId="0" xr:uid="{00000000-0006-0000-1D00-00006D000000}">
      <text>
        <r>
          <rPr>
            <b/>
            <sz val="9"/>
            <color indexed="81"/>
            <rFont val="MS P ゴシック"/>
            <charset val="128"/>
          </rPr>
          <t>【出力先】
第二面
工事監理者（その他3）
事務所名</t>
        </r>
        <r>
          <rPr>
            <sz val="9"/>
            <color indexed="81"/>
            <rFont val="MS P ゴシック"/>
            <charset val="128"/>
          </rPr>
          <t xml:space="preserve">
</t>
        </r>
      </text>
    </comment>
    <comment ref="L146" authorId="0" shapeId="0" xr:uid="{00000000-0006-0000-1D00-00006E000000}">
      <text>
        <r>
          <rPr>
            <b/>
            <sz val="9"/>
            <color indexed="81"/>
            <rFont val="MS P ゴシック"/>
            <charset val="128"/>
          </rPr>
          <t>【出力先】
第二面
工事監理者（その他3）
事務所名</t>
        </r>
      </text>
    </comment>
    <comment ref="R146" authorId="0" shapeId="0" xr:uid="{00000000-0006-0000-1D00-00006F000000}">
      <text>
        <r>
          <rPr>
            <b/>
            <sz val="9"/>
            <color indexed="81"/>
            <rFont val="MS P ゴシック"/>
            <charset val="128"/>
          </rPr>
          <t>【出力先】
第二面
工事監理者（その他3）
事務所名（番号）</t>
        </r>
        <r>
          <rPr>
            <sz val="9"/>
            <color indexed="81"/>
            <rFont val="MS P ゴシック"/>
            <charset val="128"/>
          </rPr>
          <t xml:space="preserve">
</t>
        </r>
      </text>
    </comment>
    <comment ref="G147" authorId="0" shapeId="0" xr:uid="{00000000-0006-0000-1D00-000070000000}">
      <text>
        <r>
          <rPr>
            <b/>
            <sz val="9"/>
            <color indexed="81"/>
            <rFont val="MS P ゴシック"/>
            <charset val="128"/>
          </rPr>
          <t>【出力先】
第二面
工事監理者（その他3）
事務所名</t>
        </r>
      </text>
    </comment>
    <comment ref="H148" authorId="0" shapeId="0" xr:uid="{00000000-0006-0000-1D00-000071000000}">
      <text>
        <r>
          <rPr>
            <b/>
            <sz val="9"/>
            <color indexed="81"/>
            <rFont val="MS P ゴシック"/>
            <charset val="128"/>
          </rPr>
          <t>【出力先】
第二面
工事監理者（その他3）
郵便番号</t>
        </r>
        <r>
          <rPr>
            <sz val="9"/>
            <color indexed="81"/>
            <rFont val="MS P ゴシック"/>
            <charset val="128"/>
          </rPr>
          <t xml:space="preserve">
</t>
        </r>
      </text>
    </comment>
    <comment ref="G149" authorId="0" shapeId="0" xr:uid="{00000000-0006-0000-1D00-000072000000}">
      <text>
        <r>
          <rPr>
            <b/>
            <sz val="9"/>
            <color indexed="81"/>
            <rFont val="MS P ゴシック"/>
            <charset val="128"/>
          </rPr>
          <t>【出力先】
第二面
工事監理者（その他3）
所在地</t>
        </r>
        <r>
          <rPr>
            <sz val="9"/>
            <color indexed="81"/>
            <rFont val="MS P ゴシック"/>
            <charset val="128"/>
          </rPr>
          <t xml:space="preserve">
</t>
        </r>
      </text>
    </comment>
    <comment ref="G151" authorId="0" shapeId="0" xr:uid="{00000000-0006-0000-1D00-000073000000}">
      <text>
        <r>
          <rPr>
            <b/>
            <sz val="9"/>
            <color indexed="81"/>
            <rFont val="MS P ゴシック"/>
            <charset val="128"/>
          </rPr>
          <t>【出力先】
第二面
工事監理者（その他3）
電話番号</t>
        </r>
        <r>
          <rPr>
            <sz val="9"/>
            <color indexed="81"/>
            <rFont val="MS P ゴシック"/>
            <charset val="128"/>
          </rPr>
          <t xml:space="preserve">
</t>
        </r>
      </text>
    </comment>
    <comment ref="J152" authorId="0" shapeId="0" xr:uid="{00000000-0006-0000-1D00-000074000000}">
      <text>
        <r>
          <rPr>
            <b/>
            <sz val="9"/>
            <color indexed="81"/>
            <rFont val="MS P ゴシック"/>
            <charset val="128"/>
          </rPr>
          <t>【出力先】
第二面
工事監理者（その他3）
設計図書</t>
        </r>
        <r>
          <rPr>
            <sz val="9"/>
            <color indexed="81"/>
            <rFont val="MS P ゴシック"/>
            <charset val="128"/>
          </rPr>
          <t xml:space="preserve">
</t>
        </r>
      </text>
    </comment>
    <comment ref="G175" authorId="0" shapeId="0" xr:uid="{00000000-0006-0000-1D00-000075000000}">
      <text>
        <r>
          <rPr>
            <b/>
            <sz val="9"/>
            <color indexed="81"/>
            <rFont val="MS P ゴシック"/>
            <charset val="128"/>
          </rPr>
          <t>【出力先】
第二面
工事施工者
氏名</t>
        </r>
        <r>
          <rPr>
            <sz val="9"/>
            <color indexed="81"/>
            <rFont val="MS P ゴシック"/>
            <charset val="128"/>
          </rPr>
          <t xml:space="preserve">
</t>
        </r>
      </text>
    </comment>
    <comment ref="K177" authorId="0" shapeId="0" xr:uid="{00000000-0006-0000-1D00-000076000000}">
      <text>
        <r>
          <rPr>
            <b/>
            <sz val="9"/>
            <color indexed="81"/>
            <rFont val="MS P ゴシック"/>
            <charset val="128"/>
          </rPr>
          <t>【出力先】
第二面
工事施工者
建設業の許可</t>
        </r>
        <r>
          <rPr>
            <sz val="9"/>
            <color indexed="81"/>
            <rFont val="MS P ゴシック"/>
            <charset val="128"/>
          </rPr>
          <t xml:space="preserve">
</t>
        </r>
      </text>
    </comment>
    <comment ref="Q177" authorId="0" shapeId="0" xr:uid="{00000000-0006-0000-1D00-000077000000}">
      <text>
        <r>
          <rPr>
            <b/>
            <sz val="9"/>
            <color indexed="81"/>
            <rFont val="MS P ゴシック"/>
            <charset val="128"/>
          </rPr>
          <t>【出力先】
第二面
工事施工者
建設業の許可（番号）</t>
        </r>
        <r>
          <rPr>
            <sz val="9"/>
            <color indexed="81"/>
            <rFont val="MS P ゴシック"/>
            <charset val="128"/>
          </rPr>
          <t xml:space="preserve">
</t>
        </r>
      </text>
    </comment>
    <comment ref="G178" authorId="0" shapeId="0" xr:uid="{00000000-0006-0000-1D00-000078000000}">
      <text>
        <r>
          <rPr>
            <b/>
            <sz val="9"/>
            <color indexed="81"/>
            <rFont val="MS P ゴシック"/>
            <charset val="128"/>
          </rPr>
          <t>【出力先】
第二面
工事施工者
営業所名</t>
        </r>
      </text>
    </comment>
    <comment ref="H179" authorId="0" shapeId="0" xr:uid="{00000000-0006-0000-1D00-000079000000}">
      <text>
        <r>
          <rPr>
            <b/>
            <sz val="9"/>
            <color indexed="81"/>
            <rFont val="MS P ゴシック"/>
            <charset val="128"/>
          </rPr>
          <t>【出力先】
第二面
工事施工者
郵便番号</t>
        </r>
        <r>
          <rPr>
            <sz val="9"/>
            <color indexed="81"/>
            <rFont val="MS P ゴシック"/>
            <charset val="128"/>
          </rPr>
          <t xml:space="preserve">
</t>
        </r>
      </text>
    </comment>
    <comment ref="G180" authorId="0" shapeId="0" xr:uid="{00000000-0006-0000-1D00-00007A000000}">
      <text>
        <r>
          <rPr>
            <b/>
            <sz val="9"/>
            <color indexed="81"/>
            <rFont val="MS P ゴシック"/>
            <charset val="128"/>
          </rPr>
          <t>【出力先】
第二面
工事施工者
所在地</t>
        </r>
        <r>
          <rPr>
            <sz val="9"/>
            <color indexed="81"/>
            <rFont val="MS P ゴシック"/>
            <charset val="128"/>
          </rPr>
          <t xml:space="preserve">
</t>
        </r>
      </text>
    </comment>
    <comment ref="G182" authorId="0" shapeId="0" xr:uid="{00000000-0006-0000-1D00-00007B000000}">
      <text>
        <r>
          <rPr>
            <b/>
            <sz val="9"/>
            <color indexed="81"/>
            <rFont val="MS P ゴシック"/>
            <charset val="128"/>
          </rPr>
          <t>【出力先】
第二面
工事施工者
電話番号</t>
        </r>
        <r>
          <rPr>
            <sz val="9"/>
            <color indexed="81"/>
            <rFont val="MS P ゴシック"/>
            <charset val="128"/>
          </rPr>
          <t xml:space="preserve">
</t>
        </r>
      </text>
    </comment>
    <comment ref="B185" authorId="0" shapeId="0" xr:uid="{00000000-0006-0000-1D00-00007C000000}">
      <text>
        <r>
          <rPr>
            <b/>
            <sz val="9"/>
            <color indexed="81"/>
            <rFont val="MS P ゴシック"/>
            <charset val="128"/>
          </rPr>
          <t>【出力先】
第二面
9.備考
フリガナ</t>
        </r>
        <r>
          <rPr>
            <sz val="9"/>
            <color indexed="81"/>
            <rFont val="MS P ゴシック"/>
            <charset val="128"/>
          </rPr>
          <t xml:space="preserve">
</t>
        </r>
      </text>
    </comment>
    <comment ref="B186" authorId="0" shapeId="0" xr:uid="{00000000-0006-0000-1D00-00007D000000}">
      <text>
        <r>
          <rPr>
            <b/>
            <sz val="9"/>
            <color indexed="81"/>
            <rFont val="MS P ゴシック"/>
            <charset val="128"/>
          </rPr>
          <t>【出力先】
第二面
9.備考
建築物の名称等</t>
        </r>
        <r>
          <rPr>
            <sz val="9"/>
            <color indexed="81"/>
            <rFont val="MS P ゴシック"/>
            <charset val="128"/>
          </rPr>
          <t xml:space="preserve">
</t>
        </r>
      </text>
    </comment>
    <comment ref="G212" authorId="0" shapeId="0" xr:uid="{00000000-0006-0000-1D00-00007E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213" authorId="0" shapeId="0" xr:uid="{00000000-0006-0000-1D00-00007F000000}">
      <text>
        <r>
          <rPr>
            <b/>
            <sz val="9"/>
            <color indexed="81"/>
            <rFont val="MS P ゴシック"/>
            <charset val="128"/>
          </rPr>
          <t xml:space="preserve">【出力先】
第二面
建築主2
氏名
</t>
        </r>
      </text>
    </comment>
    <comment ref="H215" authorId="0" shapeId="0" xr:uid="{00000000-0006-0000-1D00-000080000000}">
      <text>
        <r>
          <rPr>
            <b/>
            <sz val="9"/>
            <color indexed="81"/>
            <rFont val="MS P ゴシック"/>
            <charset val="128"/>
          </rPr>
          <t>【出力先】
第二面
建築主2
郵便番号</t>
        </r>
        <r>
          <rPr>
            <sz val="9"/>
            <color indexed="81"/>
            <rFont val="MS P ゴシック"/>
            <charset val="128"/>
          </rPr>
          <t xml:space="preserve">
</t>
        </r>
      </text>
    </comment>
    <comment ref="G216" authorId="0" shapeId="0" xr:uid="{00000000-0006-0000-1D00-000081000000}">
      <text>
        <r>
          <rPr>
            <b/>
            <sz val="9"/>
            <color indexed="81"/>
            <rFont val="MS P ゴシック"/>
            <charset val="128"/>
          </rPr>
          <t>【出力先】
第二面
建築主2
住所</t>
        </r>
        <r>
          <rPr>
            <sz val="9"/>
            <color indexed="81"/>
            <rFont val="MS P ゴシック"/>
            <charset val="128"/>
          </rPr>
          <t xml:space="preserve">
</t>
        </r>
      </text>
    </comment>
    <comment ref="G218" authorId="0" shapeId="0" xr:uid="{00000000-0006-0000-1D00-000082000000}">
      <text>
        <r>
          <rPr>
            <b/>
            <sz val="9"/>
            <color indexed="81"/>
            <rFont val="MS P ゴシック"/>
            <charset val="128"/>
          </rPr>
          <t>【出力先】
第二面
建築主2
電話番号</t>
        </r>
        <r>
          <rPr>
            <sz val="9"/>
            <color indexed="81"/>
            <rFont val="MS P ゴシック"/>
            <charset val="128"/>
          </rPr>
          <t xml:space="preserve">
</t>
        </r>
      </text>
    </comment>
    <comment ref="G221" authorId="0" shapeId="0" xr:uid="{00000000-0006-0000-1D00-000083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222" authorId="0" shapeId="0" xr:uid="{00000000-0006-0000-1D00-000084000000}">
      <text>
        <r>
          <rPr>
            <b/>
            <sz val="9"/>
            <color indexed="81"/>
            <rFont val="MS P ゴシック"/>
            <charset val="128"/>
          </rPr>
          <t xml:space="preserve">【出力先】
第二面
建築主3
氏名
</t>
        </r>
      </text>
    </comment>
    <comment ref="H224" authorId="0" shapeId="0" xr:uid="{00000000-0006-0000-1D00-000085000000}">
      <text>
        <r>
          <rPr>
            <b/>
            <sz val="9"/>
            <color indexed="81"/>
            <rFont val="MS P ゴシック"/>
            <charset val="128"/>
          </rPr>
          <t>【出力先】
第二面
建築主3
郵便番号</t>
        </r>
        <r>
          <rPr>
            <sz val="9"/>
            <color indexed="81"/>
            <rFont val="MS P ゴシック"/>
            <charset val="128"/>
          </rPr>
          <t xml:space="preserve">
</t>
        </r>
      </text>
    </comment>
    <comment ref="G225" authorId="0" shapeId="0" xr:uid="{00000000-0006-0000-1D00-000086000000}">
      <text>
        <r>
          <rPr>
            <b/>
            <sz val="9"/>
            <color indexed="81"/>
            <rFont val="MS P ゴシック"/>
            <charset val="128"/>
          </rPr>
          <t>【出力先】
第二面
建築主3
住所</t>
        </r>
        <r>
          <rPr>
            <sz val="9"/>
            <color indexed="81"/>
            <rFont val="MS P ゴシック"/>
            <charset val="128"/>
          </rPr>
          <t xml:space="preserve">
</t>
        </r>
      </text>
    </comment>
    <comment ref="G227" authorId="0" shapeId="0" xr:uid="{00000000-0006-0000-1D00-000087000000}">
      <text>
        <r>
          <rPr>
            <b/>
            <sz val="9"/>
            <color indexed="81"/>
            <rFont val="MS P ゴシック"/>
            <charset val="128"/>
          </rPr>
          <t>【出力先】
第二面
建築主3
電話番号</t>
        </r>
        <r>
          <rPr>
            <sz val="9"/>
            <color indexed="81"/>
            <rFont val="MS P ゴシック"/>
            <charset val="128"/>
          </rPr>
          <t xml:space="preserve">
</t>
        </r>
      </text>
    </comment>
    <comment ref="G230" authorId="0" shapeId="0" xr:uid="{00000000-0006-0000-1D00-000088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231" authorId="0" shapeId="0" xr:uid="{00000000-0006-0000-1D00-000089000000}">
      <text>
        <r>
          <rPr>
            <b/>
            <sz val="9"/>
            <color indexed="81"/>
            <rFont val="MS P ゴシック"/>
            <charset val="128"/>
          </rPr>
          <t xml:space="preserve">【出力先】
第二面
建築主4
氏名
</t>
        </r>
      </text>
    </comment>
    <comment ref="H233" authorId="0" shapeId="0" xr:uid="{00000000-0006-0000-1D00-00008A000000}">
      <text>
        <r>
          <rPr>
            <b/>
            <sz val="9"/>
            <color indexed="81"/>
            <rFont val="MS P ゴシック"/>
            <charset val="128"/>
          </rPr>
          <t>【出力先】
第二面
建築主4
郵便番号</t>
        </r>
        <r>
          <rPr>
            <sz val="9"/>
            <color indexed="81"/>
            <rFont val="MS P ゴシック"/>
            <charset val="128"/>
          </rPr>
          <t xml:space="preserve">
</t>
        </r>
      </text>
    </comment>
    <comment ref="G234" authorId="0" shapeId="0" xr:uid="{00000000-0006-0000-1D00-00008B000000}">
      <text>
        <r>
          <rPr>
            <b/>
            <sz val="9"/>
            <color indexed="81"/>
            <rFont val="MS P ゴシック"/>
            <charset val="128"/>
          </rPr>
          <t>【出力先】
第二面
建築主4
住所</t>
        </r>
        <r>
          <rPr>
            <sz val="9"/>
            <color indexed="81"/>
            <rFont val="MS P ゴシック"/>
            <charset val="128"/>
          </rPr>
          <t xml:space="preserve">
</t>
        </r>
      </text>
    </comment>
    <comment ref="G236" authorId="0" shapeId="0" xr:uid="{00000000-0006-0000-1D00-00008C000000}">
      <text>
        <r>
          <rPr>
            <b/>
            <sz val="9"/>
            <color indexed="81"/>
            <rFont val="MS P ゴシック"/>
            <charset val="128"/>
          </rPr>
          <t>【出力先】
第二面
建築主4
電話番号</t>
        </r>
        <r>
          <rPr>
            <sz val="9"/>
            <color indexed="81"/>
            <rFont val="MS P ゴシック"/>
            <charset val="128"/>
          </rPr>
          <t xml:space="preserve">
</t>
        </r>
      </text>
    </comment>
    <comment ref="F266" authorId="0" shapeId="0" xr:uid="{00000000-0006-0000-1D00-00008D000000}">
      <text>
        <r>
          <rPr>
            <b/>
            <sz val="9"/>
            <color indexed="81"/>
            <rFont val="MS P ゴシック"/>
            <charset val="128"/>
          </rPr>
          <t>【出力先】
第三面
1.地名地番</t>
        </r>
        <r>
          <rPr>
            <sz val="9"/>
            <color indexed="81"/>
            <rFont val="MS P ゴシック"/>
            <charset val="128"/>
          </rPr>
          <t xml:space="preserve">
</t>
        </r>
      </text>
    </comment>
    <comment ref="F269" authorId="0" shapeId="0" xr:uid="{00000000-0006-0000-1D00-00008E000000}">
      <text>
        <r>
          <rPr>
            <b/>
            <sz val="9"/>
            <color indexed="81"/>
            <rFont val="MS P ゴシック"/>
            <charset val="128"/>
          </rPr>
          <t>【出力先】
第三面
2.住居表示
　※確定した場合に記載</t>
        </r>
        <r>
          <rPr>
            <sz val="9"/>
            <color indexed="81"/>
            <rFont val="MS P ゴシック"/>
            <charset val="128"/>
          </rPr>
          <t xml:space="preserve">
</t>
        </r>
      </text>
    </comment>
    <comment ref="D273" authorId="0" shapeId="0" xr:uid="{00000000-0006-0000-1D00-00008F000000}">
      <text>
        <r>
          <rPr>
            <b/>
            <sz val="9"/>
            <color indexed="81"/>
            <rFont val="MS P ゴシック"/>
            <charset val="128"/>
          </rPr>
          <t>【出力先】
第四面（棟1）
9.確認の特例　ハ</t>
        </r>
      </text>
    </comment>
    <comment ref="G274" authorId="0" shapeId="0" xr:uid="{00000000-0006-0000-1D00-000090000000}">
      <text>
        <r>
          <rPr>
            <b/>
            <sz val="9"/>
            <color indexed="81"/>
            <rFont val="MS P ゴシック"/>
            <charset val="128"/>
          </rPr>
          <t>【出力先】
第三面
9.工事種別
✓有り→■
✓無し→□</t>
        </r>
      </text>
    </comment>
    <comment ref="J274" authorId="0" shapeId="0" xr:uid="{00000000-0006-0000-1D00-000091000000}">
      <text>
        <r>
          <rPr>
            <b/>
            <sz val="9"/>
            <color indexed="81"/>
            <rFont val="MS P ゴシック"/>
            <charset val="128"/>
          </rPr>
          <t>【出力先】
第三面
9.工事種別
✓有り→■
✓無し→□</t>
        </r>
      </text>
    </comment>
    <comment ref="M274" authorId="0" shapeId="0" xr:uid="{00000000-0006-0000-1D00-000092000000}">
      <text>
        <r>
          <rPr>
            <b/>
            <sz val="9"/>
            <color indexed="81"/>
            <rFont val="MS P ゴシック"/>
            <charset val="128"/>
          </rPr>
          <t>【出力先】
第三面
9.工事種別
✓有り→■
✓無し→□</t>
        </r>
      </text>
    </comment>
    <comment ref="P274" authorId="0" shapeId="0" xr:uid="{00000000-0006-0000-1D00-000093000000}">
      <text>
        <r>
          <rPr>
            <b/>
            <sz val="9"/>
            <color indexed="81"/>
            <rFont val="MS P ゴシック"/>
            <charset val="128"/>
          </rPr>
          <t>【出力先】
第三面
9.工事種別
✓有り→■
✓無し→□</t>
        </r>
      </text>
    </comment>
    <comment ref="G275" authorId="0" shapeId="0" xr:uid="{00000000-0006-0000-1D00-000094000000}">
      <text>
        <r>
          <rPr>
            <b/>
            <sz val="9"/>
            <color indexed="81"/>
            <rFont val="MS P ゴシック"/>
            <charset val="128"/>
          </rPr>
          <t>【出力先】
第三面
9.工事種別
✓有り→■
✓無し→□</t>
        </r>
      </text>
    </comment>
    <comment ref="L275" authorId="0" shapeId="0" xr:uid="{00000000-0006-0000-1D00-000095000000}">
      <text>
        <r>
          <rPr>
            <b/>
            <sz val="9"/>
            <color indexed="81"/>
            <rFont val="MS P ゴシック"/>
            <charset val="128"/>
          </rPr>
          <t>【出力先】
第三面
9.工事種別
✓有り→■
✓無し→□</t>
        </r>
      </text>
    </comment>
    <comment ref="R275" authorId="0" shapeId="0" xr:uid="{00000000-0006-0000-1D00-000096000000}">
      <text>
        <r>
          <rPr>
            <b/>
            <sz val="9"/>
            <color indexed="81"/>
            <rFont val="MS P ゴシック"/>
            <charset val="128"/>
          </rPr>
          <t>【出力先】
第三面
9.工事種別
✓有り→■
✓無し→□</t>
        </r>
      </text>
    </comment>
    <comment ref="C277" authorId="0" shapeId="0" xr:uid="{00000000-0006-0000-1D00-000097000000}">
      <text>
        <r>
          <rPr>
            <b/>
            <sz val="9"/>
            <color indexed="81"/>
            <rFont val="MS P ゴシック"/>
            <charset val="128"/>
          </rPr>
          <t>【出力先】
第三面
9.工事種別
へ認証型式部材等認証番号</t>
        </r>
      </text>
    </comment>
    <comment ref="J279" authorId="0" shapeId="0" xr:uid="{00000000-0006-0000-1D00-000098000000}">
      <text>
        <r>
          <rPr>
            <b/>
            <sz val="9"/>
            <color indexed="81"/>
            <rFont val="MS P ゴシック"/>
            <charset val="128"/>
          </rPr>
          <t>自動反映
「目次・入力シート」
直前の確認番号</t>
        </r>
        <r>
          <rPr>
            <sz val="9"/>
            <color indexed="81"/>
            <rFont val="MS P ゴシック"/>
            <charset val="128"/>
          </rPr>
          <t xml:space="preserve">
</t>
        </r>
      </text>
    </comment>
    <comment ref="I280" authorId="0" shapeId="0" xr:uid="{00000000-0006-0000-1D00-000099000000}">
      <text>
        <r>
          <rPr>
            <b/>
            <sz val="9"/>
            <color indexed="81"/>
            <rFont val="MS P ゴシック"/>
            <charset val="128"/>
          </rPr>
          <t>自動反映
「目次・入力シート」
確認年月日</t>
        </r>
      </text>
    </comment>
    <comment ref="I281" authorId="0" shapeId="0" xr:uid="{00000000-0006-0000-1D00-00009A000000}">
      <text>
        <r>
          <rPr>
            <b/>
            <sz val="9"/>
            <color indexed="81"/>
            <rFont val="MS P ゴシック"/>
            <charset val="128"/>
          </rPr>
          <t xml:space="preserve">他機関で確認した場合は、交付された確認済証に記載された交付者を入力してください。
</t>
        </r>
        <r>
          <rPr>
            <sz val="9"/>
            <color indexed="81"/>
            <rFont val="MS P ゴシック"/>
            <charset val="128"/>
          </rPr>
          <t xml:space="preserve">
</t>
        </r>
      </text>
    </comment>
    <comment ref="I282" authorId="0" shapeId="0" xr:uid="{00000000-0006-0000-1D00-00009B000000}">
      <text>
        <r>
          <rPr>
            <b/>
            <sz val="9"/>
            <color indexed="81"/>
            <rFont val="MS P ゴシック"/>
            <charset val="128"/>
          </rPr>
          <t>自動反映
「目次・入力シート」
完了年月日</t>
        </r>
        <r>
          <rPr>
            <sz val="9"/>
            <color indexed="81"/>
            <rFont val="MS P ゴシック"/>
            <charset val="128"/>
          </rPr>
          <t xml:space="preserve">
</t>
        </r>
      </text>
    </comment>
    <comment ref="I283" authorId="0" shapeId="0" xr:uid="{00000000-0006-0000-1D00-00009C000000}">
      <text>
        <r>
          <rPr>
            <b/>
            <sz val="9"/>
            <color indexed="81"/>
            <rFont val="MS P ゴシック"/>
            <charset val="128"/>
          </rPr>
          <t>自動反映
「目次・入力シート」
完了年月日</t>
        </r>
        <r>
          <rPr>
            <sz val="9"/>
            <color indexed="81"/>
            <rFont val="MS P ゴシック"/>
            <charset val="128"/>
          </rPr>
          <t xml:space="preserve">
</t>
        </r>
      </text>
    </comment>
    <comment ref="I284" authorId="0" shapeId="0" xr:uid="{00000000-0006-0000-1D00-00009D000000}">
      <text>
        <r>
          <rPr>
            <b/>
            <sz val="9"/>
            <color indexed="81"/>
            <rFont val="MS P ゴシック"/>
            <charset val="128"/>
          </rPr>
          <t xml:space="preserve">【出力先】
第三面
11.延べ面積
イ　申請部分
</t>
        </r>
        <r>
          <rPr>
            <sz val="9"/>
            <color indexed="81"/>
            <rFont val="MS P ゴシック"/>
            <charset val="128"/>
          </rPr>
          <t xml:space="preserve">
</t>
        </r>
      </text>
    </comment>
    <comment ref="K292" authorId="0" shapeId="0" xr:uid="{00000000-0006-0000-1D00-00009E000000}">
      <text>
        <r>
          <rPr>
            <sz val="9"/>
            <color indexed="81"/>
            <rFont val="MS P ゴシック"/>
            <charset val="128"/>
          </rPr>
          <t xml:space="preserve">設計図書の種類を入力
（例）
平面図、立面図
</t>
        </r>
      </text>
    </comment>
    <comment ref="G293" authorId="0" shapeId="0" xr:uid="{00000000-0006-0000-1D00-00009F000000}">
      <text>
        <r>
          <rPr>
            <sz val="9"/>
            <color indexed="81"/>
            <rFont val="MS P ゴシック"/>
            <charset val="128"/>
          </rPr>
          <t xml:space="preserve">概要を入力
（例）
①24時間換気の設置位置変更
　1階LDK（給気口）
</t>
        </r>
      </text>
    </comment>
    <comment ref="A306" authorId="0" shapeId="0" xr:uid="{00000000-0006-0000-1D00-0000A0000000}">
      <text>
        <r>
          <rPr>
            <sz val="9"/>
            <color indexed="81"/>
            <rFont val="MS P ゴシック"/>
            <charset val="128"/>
          </rPr>
          <t xml:space="preserve">参考としてご利用ください
</t>
        </r>
      </text>
    </comment>
    <comment ref="K362" authorId="0" shapeId="0" xr:uid="{00000000-0006-0000-1D00-0000A1000000}">
      <text>
        <r>
          <rPr>
            <sz val="9"/>
            <color indexed="81"/>
            <rFont val="MS P ゴシック"/>
            <charset val="128"/>
          </rPr>
          <t xml:space="preserve">設計図書の種類を入力
（例）
平面図、立面図
</t>
        </r>
      </text>
    </comment>
    <comment ref="G363" authorId="0" shapeId="0" xr:uid="{00000000-0006-0000-1D00-0000A2000000}">
      <text>
        <r>
          <rPr>
            <sz val="9"/>
            <color indexed="81"/>
            <rFont val="MS P ゴシック"/>
            <charset val="128"/>
          </rPr>
          <t xml:space="preserve">概要を入力
（例）
①24時間換気の設置位置変更
　1階LDK（給気口）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1E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1E00-000002000000}">
      <text>
        <r>
          <rPr>
            <b/>
            <sz val="9"/>
            <color indexed="81"/>
            <rFont val="MS P ゴシック"/>
            <charset val="128"/>
          </rPr>
          <t>【出力先】
第二面
建築主
会社名＋役職＋氏名</t>
        </r>
      </text>
    </comment>
    <comment ref="Q19" authorId="0" shapeId="0" xr:uid="{00000000-0006-0000-1E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1E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1E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1E00-000006000000}">
      <text>
        <r>
          <rPr>
            <b/>
            <sz val="9"/>
            <color indexed="81"/>
            <rFont val="MS P ゴシック"/>
            <charset val="128"/>
          </rPr>
          <t>【出力先】
第二面
連名表示（建築主～追加4）
会社名＋役職＋氏名</t>
        </r>
      </text>
    </comment>
    <comment ref="H28" authorId="0" shapeId="0" xr:uid="{00000000-0006-0000-1E00-000007000000}">
      <text>
        <r>
          <rPr>
            <b/>
            <sz val="9"/>
            <color indexed="81"/>
            <rFont val="MS P ゴシック"/>
            <charset val="128"/>
          </rPr>
          <t>【出力先】
第三面
1.地名地番</t>
        </r>
      </text>
    </comment>
    <comment ref="J29" authorId="0" shapeId="0" xr:uid="{00000000-0006-0000-1E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Q29" authorId="0" shapeId="0" xr:uid="{00000000-0006-0000-1E00-000009000000}">
      <text>
        <r>
          <rPr>
            <b/>
            <sz val="9"/>
            <color indexed="81"/>
            <rFont val="MS P ゴシック"/>
            <charset val="128"/>
          </rPr>
          <t>自動反映
「目次・入力シート」
確認年月日</t>
        </r>
      </text>
    </comment>
    <comment ref="I30" authorId="0" shapeId="0" xr:uid="{00000000-0006-0000-1E00-00000A000000}">
      <text>
        <r>
          <rPr>
            <b/>
            <sz val="9"/>
            <color indexed="81"/>
            <rFont val="MS P ゴシック"/>
            <charset val="128"/>
          </rPr>
          <t>自動反映
「目次・入力シート」
完了年月日</t>
        </r>
        <r>
          <rPr>
            <sz val="9"/>
            <color indexed="81"/>
            <rFont val="MS P ゴシック"/>
            <charset val="128"/>
          </rPr>
          <t xml:space="preserve">
</t>
        </r>
      </text>
    </comment>
    <comment ref="H31" authorId="0" shapeId="0" xr:uid="{00000000-0006-0000-1E00-00000B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1E00-00000C000000}">
      <text>
        <r>
          <rPr>
            <b/>
            <sz val="9"/>
            <color indexed="81"/>
            <rFont val="MS P ゴシック"/>
            <charset val="128"/>
          </rPr>
          <t>ドロップダウンリストから以下を選択
東日本大震災
令和元年台風第19号</t>
        </r>
      </text>
    </comment>
    <comment ref="H34" authorId="0" shapeId="0" xr:uid="{00000000-0006-0000-1E00-00000D000000}">
      <text>
        <r>
          <rPr>
            <b/>
            <sz val="9"/>
            <color indexed="81"/>
            <rFont val="MS P ゴシック"/>
            <charset val="128"/>
          </rPr>
          <t>空欄で結構です。
窓口にて、センターで記載します。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1F00-000001000000}">
      <text>
        <r>
          <rPr>
            <b/>
            <sz val="9"/>
            <color indexed="81"/>
            <rFont val="MS P ゴシック"/>
            <charset val="128"/>
          </rPr>
          <t>【出力先】
第二面
建築主
会社名</t>
        </r>
      </text>
    </comment>
    <comment ref="Q16" authorId="0" shapeId="0" xr:uid="{00000000-0006-0000-1F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1F00-000003000000}">
      <text>
        <r>
          <rPr>
            <b/>
            <sz val="9"/>
            <color indexed="81"/>
            <rFont val="MS P ゴシック"/>
            <charset val="128"/>
          </rPr>
          <t>【出力先】
第二面
建築主2
会社名</t>
        </r>
      </text>
    </comment>
    <comment ref="Q18" authorId="0" shapeId="0" xr:uid="{00000000-0006-0000-1F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1F00-000005000000}">
      <text>
        <r>
          <rPr>
            <b/>
            <sz val="9"/>
            <color indexed="81"/>
            <rFont val="MS P ゴシック"/>
            <charset val="128"/>
          </rPr>
          <t>【出力先】
第二面
建築主3
会社名</t>
        </r>
      </text>
    </comment>
    <comment ref="Q20" authorId="0" shapeId="0" xr:uid="{00000000-0006-0000-1F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1F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1F00-000008000000}">
      <text>
        <r>
          <rPr>
            <b/>
            <sz val="9"/>
            <color indexed="81"/>
            <rFont val="ＭＳ Ｐゴシック"/>
            <family val="3"/>
            <charset val="128"/>
          </rPr>
          <t>確認申請書第一面
申請日</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000-000001000000}">
      <text>
        <r>
          <rPr>
            <b/>
            <sz val="9"/>
            <color indexed="81"/>
            <rFont val="MS P ゴシック"/>
            <charset val="128"/>
          </rPr>
          <t>【出力先】
第二面
建築主
会社名</t>
        </r>
      </text>
    </comment>
    <comment ref="Q16" authorId="0" shapeId="0" xr:uid="{00000000-0006-0000-20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000-000003000000}">
      <text>
        <r>
          <rPr>
            <b/>
            <sz val="9"/>
            <color indexed="81"/>
            <rFont val="MS P ゴシック"/>
            <charset val="128"/>
          </rPr>
          <t>【出力先】
第二面
建築主2
会社名</t>
        </r>
      </text>
    </comment>
    <comment ref="Q18" authorId="0" shapeId="0" xr:uid="{00000000-0006-0000-20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000-000005000000}">
      <text>
        <r>
          <rPr>
            <b/>
            <sz val="9"/>
            <color indexed="81"/>
            <rFont val="MS P ゴシック"/>
            <charset val="128"/>
          </rPr>
          <t>【出力先】
第二面
建築主3
会社名</t>
        </r>
      </text>
    </comment>
    <comment ref="Q20" authorId="0" shapeId="0" xr:uid="{00000000-0006-0000-20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0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2000-000008000000}">
      <text>
        <r>
          <rPr>
            <b/>
            <sz val="9"/>
            <color indexed="81"/>
            <rFont val="ＭＳ Ｐゴシック"/>
            <family val="3"/>
            <charset val="128"/>
          </rPr>
          <t>確認申請書第一面
申請日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E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E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E00-000003000000}">
      <text>
        <r>
          <rPr>
            <b/>
            <sz val="9"/>
            <color indexed="81"/>
            <rFont val="MS P ゴシック"/>
            <charset val="128"/>
          </rPr>
          <t>自動反映
「目次・入力シート」
会社名</t>
        </r>
      </text>
    </comment>
    <comment ref="B16" authorId="0" shapeId="0" xr:uid="{00000000-0006-0000-0E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E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E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E00-000007000000}">
      <text>
        <r>
          <rPr>
            <b/>
            <sz val="9"/>
            <color indexed="81"/>
            <rFont val="MS P ゴシック"/>
            <charset val="128"/>
          </rPr>
          <t>自動反映
「目次・入力シート」
携帯番号</t>
        </r>
      </text>
    </comment>
    <comment ref="L18" authorId="0" shapeId="0" xr:uid="{00000000-0006-0000-0E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100-000001000000}">
      <text>
        <r>
          <rPr>
            <b/>
            <sz val="9"/>
            <color indexed="81"/>
            <rFont val="MS P ゴシック"/>
            <charset val="128"/>
          </rPr>
          <t>【出力先】
第二面
建築主
会社名</t>
        </r>
      </text>
    </comment>
    <comment ref="Q14" authorId="0" shapeId="0" xr:uid="{00000000-0006-0000-21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100-000003000000}">
      <text>
        <r>
          <rPr>
            <b/>
            <sz val="9"/>
            <color indexed="81"/>
            <rFont val="MS P ゴシック"/>
            <charset val="128"/>
          </rPr>
          <t>【出力先】
第二面
建築主2
会社名</t>
        </r>
      </text>
    </comment>
    <comment ref="Q16" authorId="0" shapeId="0" xr:uid="{00000000-0006-0000-21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100-000005000000}">
      <text>
        <r>
          <rPr>
            <b/>
            <sz val="9"/>
            <color indexed="81"/>
            <rFont val="MS P ゴシック"/>
            <charset val="128"/>
          </rPr>
          <t>【出力先】
第二面
建築主3
会社名</t>
        </r>
      </text>
    </comment>
    <comment ref="Q18" authorId="0" shapeId="0" xr:uid="{00000000-0006-0000-2100-000006000000}">
      <text>
        <r>
          <rPr>
            <b/>
            <sz val="9"/>
            <color indexed="81"/>
            <rFont val="MS P ゴシック"/>
            <charset val="128"/>
          </rPr>
          <t>【出力先】
第二面
建築主3
役職＋氏名</t>
        </r>
        <r>
          <rPr>
            <sz val="9"/>
            <color indexed="81"/>
            <rFont val="MS P ゴシック"/>
            <charset val="128"/>
          </rPr>
          <t xml:space="preserve">
</t>
        </r>
      </text>
    </comment>
    <comment ref="B33" authorId="0" shapeId="0" xr:uid="{00000000-0006-0000-2100-000007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200-000001000000}">
      <text>
        <r>
          <rPr>
            <b/>
            <sz val="9"/>
            <color indexed="81"/>
            <rFont val="MS P ゴシック"/>
            <charset val="128"/>
          </rPr>
          <t>【出力先】
第二面
建築主
会社名</t>
        </r>
      </text>
    </comment>
    <comment ref="Q14" authorId="0" shapeId="0" xr:uid="{00000000-0006-0000-22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200-000003000000}">
      <text>
        <r>
          <rPr>
            <b/>
            <sz val="9"/>
            <color indexed="81"/>
            <rFont val="MS P ゴシック"/>
            <charset val="128"/>
          </rPr>
          <t>【出力先】
第二面
建築主2
会社名</t>
        </r>
      </text>
    </comment>
    <comment ref="Q16" authorId="0" shapeId="0" xr:uid="{00000000-0006-0000-22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200-000005000000}">
      <text>
        <r>
          <rPr>
            <b/>
            <sz val="9"/>
            <color indexed="81"/>
            <rFont val="MS P ゴシック"/>
            <charset val="128"/>
          </rPr>
          <t>【出力先】
第二面
建築主3
会社名</t>
        </r>
      </text>
    </comment>
    <comment ref="Q18" authorId="0" shapeId="0" xr:uid="{00000000-0006-0000-2200-000006000000}">
      <text>
        <r>
          <rPr>
            <b/>
            <sz val="9"/>
            <color indexed="81"/>
            <rFont val="MS P ゴシック"/>
            <charset val="128"/>
          </rPr>
          <t>【出力先】
第二面
建築主3
役職＋氏名</t>
        </r>
        <r>
          <rPr>
            <sz val="9"/>
            <color indexed="81"/>
            <rFont val="MS P ゴシック"/>
            <charset val="128"/>
          </rPr>
          <t xml:space="preserve">
</t>
        </r>
      </text>
    </comment>
    <comment ref="J30" authorId="0" shapeId="0" xr:uid="{00000000-0006-0000-2200-000007000000}">
      <text>
        <r>
          <rPr>
            <b/>
            <sz val="9"/>
            <color indexed="81"/>
            <rFont val="MS P ゴシック"/>
            <charset val="128"/>
          </rPr>
          <t>自動反映
「目次・入力シート」
確認年月日</t>
        </r>
      </text>
    </comment>
    <comment ref="K31" authorId="0" shapeId="0" xr:uid="{00000000-0006-0000-22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B33" authorId="0" shapeId="0" xr:uid="{00000000-0006-0000-2200-000009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2300-000001000000}">
      <text>
        <r>
          <rPr>
            <b/>
            <sz val="9"/>
            <color indexed="81"/>
            <rFont val="MS P ゴシック"/>
            <charset val="128"/>
          </rPr>
          <t>【出力先】
第二面
建築主
会社名</t>
        </r>
      </text>
    </comment>
    <comment ref="Q16" authorId="0" shapeId="0" xr:uid="{00000000-0006-0000-23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300-000003000000}">
      <text>
        <r>
          <rPr>
            <b/>
            <sz val="9"/>
            <color indexed="81"/>
            <rFont val="MS P ゴシック"/>
            <charset val="128"/>
          </rPr>
          <t>【出力先】
第二面
建築主2
会社名</t>
        </r>
      </text>
    </comment>
    <comment ref="Q18" authorId="0" shapeId="0" xr:uid="{00000000-0006-0000-23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300-000005000000}">
      <text>
        <r>
          <rPr>
            <b/>
            <sz val="9"/>
            <color indexed="81"/>
            <rFont val="MS P ゴシック"/>
            <charset val="128"/>
          </rPr>
          <t>【出力先】
第二面
建築主3
会社名</t>
        </r>
      </text>
    </comment>
    <comment ref="Q20" authorId="0" shapeId="0" xr:uid="{00000000-0006-0000-2300-000006000000}">
      <text>
        <r>
          <rPr>
            <b/>
            <sz val="9"/>
            <color indexed="81"/>
            <rFont val="MS P ゴシック"/>
            <charset val="128"/>
          </rPr>
          <t>【出力先】
第二面
建築主3
役職＋氏名</t>
        </r>
        <r>
          <rPr>
            <sz val="9"/>
            <color indexed="81"/>
            <rFont val="MS P ゴシック"/>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400-000001000000}">
      <text>
        <r>
          <rPr>
            <b/>
            <sz val="9"/>
            <color indexed="81"/>
            <rFont val="MS P ゴシック"/>
            <charset val="128"/>
          </rPr>
          <t>【出力先】
第二面
建築主
会社名</t>
        </r>
      </text>
    </comment>
    <comment ref="Q16" authorId="0" shapeId="0" xr:uid="{00000000-0006-0000-24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400-000003000000}">
      <text>
        <r>
          <rPr>
            <b/>
            <sz val="9"/>
            <color indexed="81"/>
            <rFont val="MS P ゴシック"/>
            <charset val="128"/>
          </rPr>
          <t>【出力先】
第二面
建築主2
会社名</t>
        </r>
      </text>
    </comment>
    <comment ref="Q18" authorId="0" shapeId="0" xr:uid="{00000000-0006-0000-24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400-000005000000}">
      <text>
        <r>
          <rPr>
            <b/>
            <sz val="9"/>
            <color indexed="81"/>
            <rFont val="MS P ゴシック"/>
            <charset val="128"/>
          </rPr>
          <t>【出力先】
第二面
建築主3
会社名</t>
        </r>
      </text>
    </comment>
    <comment ref="Q20" authorId="0" shapeId="0" xr:uid="{00000000-0006-0000-2400-000006000000}">
      <text>
        <r>
          <rPr>
            <b/>
            <sz val="9"/>
            <color indexed="81"/>
            <rFont val="MS P ゴシック"/>
            <charset val="128"/>
          </rPr>
          <t>【出力先】
第二面
建築主3
役職＋氏名</t>
        </r>
        <r>
          <rPr>
            <sz val="9"/>
            <color indexed="81"/>
            <rFont val="MS P ゴシック"/>
            <charset val="128"/>
          </rPr>
          <t xml:space="preserve">
</t>
        </r>
      </text>
    </comment>
    <comment ref="K29" authorId="1" shapeId="0" xr:uid="{00000000-0006-0000-2400-000007000000}">
      <text>
        <r>
          <rPr>
            <b/>
            <sz val="9"/>
            <color indexed="81"/>
            <rFont val="ＭＳ Ｐゴシック"/>
            <family val="3"/>
            <charset val="128"/>
          </rPr>
          <t>自動反映
「目次・入力シート」
直前の確認番号</t>
        </r>
      </text>
    </comment>
    <comment ref="J32" authorId="1" shapeId="0" xr:uid="{00000000-0006-0000-2400-000008000000}">
      <text>
        <r>
          <rPr>
            <b/>
            <sz val="9"/>
            <color indexed="81"/>
            <rFont val="ＭＳ Ｐゴシック"/>
            <family val="3"/>
            <charset val="128"/>
          </rPr>
          <t>自動反映
「目次・入力シート」
確認年月日</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500-000001000000}">
      <text>
        <r>
          <rPr>
            <b/>
            <sz val="9"/>
            <color indexed="81"/>
            <rFont val="MS P ゴシック"/>
            <charset val="128"/>
          </rPr>
          <t>【出力先】
第二面
建築主
会社名</t>
        </r>
      </text>
    </comment>
    <comment ref="Q16" authorId="0" shapeId="0" xr:uid="{00000000-0006-0000-25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500-000003000000}">
      <text>
        <r>
          <rPr>
            <b/>
            <sz val="9"/>
            <color indexed="81"/>
            <rFont val="MS P ゴシック"/>
            <charset val="128"/>
          </rPr>
          <t>【出力先】
第二面
建築主2
会社名</t>
        </r>
      </text>
    </comment>
    <comment ref="Q18" authorId="0" shapeId="0" xr:uid="{00000000-0006-0000-25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500-000005000000}">
      <text>
        <r>
          <rPr>
            <b/>
            <sz val="9"/>
            <color indexed="81"/>
            <rFont val="MS P ゴシック"/>
            <charset val="128"/>
          </rPr>
          <t>【出力先】
第二面
建築主3
会社名</t>
        </r>
      </text>
    </comment>
    <comment ref="Q20" authorId="0" shapeId="0" xr:uid="{00000000-0006-0000-25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500-000007000000}">
      <text>
        <r>
          <rPr>
            <b/>
            <sz val="9"/>
            <color indexed="81"/>
            <rFont val="ＭＳ Ｐゴシック"/>
            <family val="3"/>
            <charset val="128"/>
          </rPr>
          <t>完了申請書第一面
申請日</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600-000001000000}">
      <text>
        <r>
          <rPr>
            <b/>
            <sz val="9"/>
            <color indexed="81"/>
            <rFont val="MS P ゴシック"/>
            <charset val="128"/>
          </rPr>
          <t>【出力先】
第二面
建築主
会社名</t>
        </r>
      </text>
    </comment>
    <comment ref="Q16" authorId="0" shapeId="0" xr:uid="{00000000-0006-0000-26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600-000003000000}">
      <text>
        <r>
          <rPr>
            <b/>
            <sz val="9"/>
            <color indexed="81"/>
            <rFont val="MS P ゴシック"/>
            <charset val="128"/>
          </rPr>
          <t>【出力先】
第二面
建築主2
会社名</t>
        </r>
      </text>
    </comment>
    <comment ref="Q18" authorId="0" shapeId="0" xr:uid="{00000000-0006-0000-26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600-000005000000}">
      <text>
        <r>
          <rPr>
            <b/>
            <sz val="9"/>
            <color indexed="81"/>
            <rFont val="MS P ゴシック"/>
            <charset val="128"/>
          </rPr>
          <t>【出力先】
第二面
建築主3
会社名</t>
        </r>
      </text>
    </comment>
    <comment ref="Q20" authorId="0" shapeId="0" xr:uid="{00000000-0006-0000-26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600-000007000000}">
      <text>
        <r>
          <rPr>
            <b/>
            <sz val="9"/>
            <color indexed="81"/>
            <rFont val="ＭＳ Ｐゴシック"/>
            <family val="3"/>
            <charset val="128"/>
          </rPr>
          <t>完了申請書第一面
申請日</t>
        </r>
      </text>
    </comment>
    <comment ref="K29" authorId="0" shapeId="0" xr:uid="{00000000-0006-0000-26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J32" authorId="0" shapeId="0" xr:uid="{00000000-0006-0000-2600-000009000000}">
      <text>
        <r>
          <rPr>
            <b/>
            <sz val="9"/>
            <color indexed="81"/>
            <rFont val="MS P ゴシック"/>
            <charset val="128"/>
          </rPr>
          <t>自動反映
「目次・入力シート」
確認年月日</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2800-000001000000}">
      <text>
        <r>
          <rPr>
            <b/>
            <sz val="9"/>
            <color indexed="81"/>
            <rFont val="MS P ゴシック"/>
            <charset val="128"/>
          </rPr>
          <t>【出力先】
第二面
建築主（代表）
会社名＋役職＋氏名</t>
        </r>
      </text>
    </comment>
    <comment ref="Q11" authorId="0" shapeId="0" xr:uid="{00000000-0006-0000-2800-000002000000}">
      <text>
        <r>
          <rPr>
            <b/>
            <sz val="9"/>
            <color indexed="81"/>
            <rFont val="MS P ゴシック"/>
            <charset val="128"/>
          </rPr>
          <t>【出力先】
第二面
建築主（代表）
住所</t>
        </r>
        <r>
          <rPr>
            <sz val="9"/>
            <color indexed="81"/>
            <rFont val="MS P ゴシック"/>
            <charset val="128"/>
          </rPr>
          <t xml:space="preserve">
</t>
        </r>
      </text>
    </comment>
    <comment ref="Q13" authorId="0" shapeId="0" xr:uid="{00000000-0006-0000-2800-000003000000}">
      <text>
        <r>
          <rPr>
            <b/>
            <sz val="9"/>
            <color indexed="81"/>
            <rFont val="MS P ゴシック"/>
            <charset val="128"/>
          </rPr>
          <t>【出力先】
第二面
建築主(代表）
電話番号</t>
        </r>
        <r>
          <rPr>
            <sz val="9"/>
            <color indexed="81"/>
            <rFont val="MS P ゴシック"/>
            <charset val="128"/>
          </rPr>
          <t xml:space="preserve">
</t>
        </r>
      </text>
    </comment>
    <comment ref="D31" authorId="0" shapeId="0" xr:uid="{00000000-0006-0000-2800-000004000000}">
      <text>
        <r>
          <rPr>
            <b/>
            <sz val="9"/>
            <color indexed="81"/>
            <rFont val="MS P ゴシック"/>
            <charset val="128"/>
          </rPr>
          <t>【出力先】
第三面
1.地名地番</t>
        </r>
      </text>
    </comment>
    <comment ref="D35" authorId="0" shapeId="0" xr:uid="{00000000-0006-0000-2800-000005000000}">
      <text>
        <r>
          <rPr>
            <b/>
            <sz val="9"/>
            <color indexed="81"/>
            <rFont val="MS P ゴシック"/>
            <charset val="128"/>
          </rPr>
          <t>自動反映
「目次・入力シート」
確認年月日</t>
        </r>
      </text>
    </comment>
    <comment ref="N35" authorId="0" shapeId="0" xr:uid="{00000000-0006-0000-2800-000006000000}">
      <text>
        <r>
          <rPr>
            <b/>
            <sz val="9"/>
            <color indexed="81"/>
            <rFont val="MS P ゴシック"/>
            <charset val="128"/>
          </rPr>
          <t>自動反映
「目次・入力シート」
直前の確認番号</t>
        </r>
        <r>
          <rPr>
            <sz val="9"/>
            <color indexed="81"/>
            <rFont val="MS P ゴシック"/>
            <charset val="128"/>
          </rPr>
          <t xml:space="preserve">
</t>
        </r>
      </text>
    </comment>
    <comment ref="D38" authorId="0" shapeId="0" xr:uid="{00000000-0006-0000-2800-000007000000}">
      <text>
        <r>
          <rPr>
            <b/>
            <sz val="9"/>
            <color indexed="81"/>
            <rFont val="MS P ゴシック"/>
            <charset val="128"/>
          </rPr>
          <t>自動反映
「目次・入力シート」
検査済証交付年月日</t>
        </r>
      </text>
    </comment>
    <comment ref="N38" authorId="0" shapeId="0" xr:uid="{00000000-0006-0000-2800-000008000000}">
      <text>
        <r>
          <rPr>
            <b/>
            <sz val="9"/>
            <color indexed="81"/>
            <rFont val="MS P ゴシック"/>
            <charset val="128"/>
          </rPr>
          <t>自動反映
「目次・入力シート」
検査済証交付番号</t>
        </r>
        <r>
          <rPr>
            <sz val="9"/>
            <color indexed="81"/>
            <rFont val="MS P ゴシック"/>
            <charset val="128"/>
          </rPr>
          <t xml:space="preserve">
</t>
        </r>
      </text>
    </comment>
    <comment ref="G58" authorId="0" shapeId="0" xr:uid="{00000000-0006-0000-2800-000009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59" authorId="0" shapeId="0" xr:uid="{00000000-0006-0000-2800-00000A000000}">
      <text>
        <r>
          <rPr>
            <b/>
            <sz val="9"/>
            <color indexed="81"/>
            <rFont val="MS P ゴシック"/>
            <charset val="128"/>
          </rPr>
          <t xml:space="preserve">【出力先】
第二面
建築主2
氏名
</t>
        </r>
      </text>
    </comment>
    <comment ref="H61" authorId="0" shapeId="0" xr:uid="{00000000-0006-0000-2800-00000B000000}">
      <text>
        <r>
          <rPr>
            <b/>
            <sz val="9"/>
            <color indexed="81"/>
            <rFont val="MS P ゴシック"/>
            <charset val="128"/>
          </rPr>
          <t>【出力先】
第二面
建築主2
郵便番号</t>
        </r>
        <r>
          <rPr>
            <sz val="9"/>
            <color indexed="81"/>
            <rFont val="MS P ゴシック"/>
            <charset val="128"/>
          </rPr>
          <t xml:space="preserve">
</t>
        </r>
      </text>
    </comment>
    <comment ref="G62" authorId="0" shapeId="0" xr:uid="{00000000-0006-0000-2800-00000C000000}">
      <text>
        <r>
          <rPr>
            <b/>
            <sz val="9"/>
            <color indexed="81"/>
            <rFont val="MS P ゴシック"/>
            <charset val="128"/>
          </rPr>
          <t>【出力先】
第二面
建築主2
住所</t>
        </r>
        <r>
          <rPr>
            <sz val="9"/>
            <color indexed="81"/>
            <rFont val="MS P ゴシック"/>
            <charset val="128"/>
          </rPr>
          <t xml:space="preserve">
</t>
        </r>
      </text>
    </comment>
    <comment ref="G64" authorId="0" shapeId="0" xr:uid="{00000000-0006-0000-2800-00000D000000}">
      <text>
        <r>
          <rPr>
            <b/>
            <sz val="9"/>
            <color indexed="81"/>
            <rFont val="MS P ゴシック"/>
            <charset val="128"/>
          </rPr>
          <t>【出力先】
第二面
建築主2
電話番号</t>
        </r>
        <r>
          <rPr>
            <sz val="9"/>
            <color indexed="81"/>
            <rFont val="MS P ゴシック"/>
            <charset val="128"/>
          </rPr>
          <t xml:space="preserve">
</t>
        </r>
      </text>
    </comment>
    <comment ref="G67" authorId="0" shapeId="0" xr:uid="{00000000-0006-0000-2800-00000E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68" authorId="0" shapeId="0" xr:uid="{00000000-0006-0000-2800-00000F000000}">
      <text>
        <r>
          <rPr>
            <b/>
            <sz val="9"/>
            <color indexed="81"/>
            <rFont val="MS P ゴシック"/>
            <charset val="128"/>
          </rPr>
          <t xml:space="preserve">【出力先】
第二面
建築主3
氏名
</t>
        </r>
      </text>
    </comment>
    <comment ref="H70" authorId="0" shapeId="0" xr:uid="{00000000-0006-0000-2800-000010000000}">
      <text>
        <r>
          <rPr>
            <b/>
            <sz val="9"/>
            <color indexed="81"/>
            <rFont val="MS P ゴシック"/>
            <charset val="128"/>
          </rPr>
          <t>【出力先】
第二面
建築主3
郵便番号</t>
        </r>
        <r>
          <rPr>
            <sz val="9"/>
            <color indexed="81"/>
            <rFont val="MS P ゴシック"/>
            <charset val="128"/>
          </rPr>
          <t xml:space="preserve">
</t>
        </r>
      </text>
    </comment>
    <comment ref="G71" authorId="0" shapeId="0" xr:uid="{00000000-0006-0000-2800-000011000000}">
      <text>
        <r>
          <rPr>
            <b/>
            <sz val="9"/>
            <color indexed="81"/>
            <rFont val="MS P ゴシック"/>
            <charset val="128"/>
          </rPr>
          <t>【出力先】
第二面
建築主3
住所</t>
        </r>
        <r>
          <rPr>
            <sz val="9"/>
            <color indexed="81"/>
            <rFont val="MS P ゴシック"/>
            <charset val="128"/>
          </rPr>
          <t xml:space="preserve">
</t>
        </r>
      </text>
    </comment>
    <comment ref="G73" authorId="0" shapeId="0" xr:uid="{00000000-0006-0000-2800-000012000000}">
      <text>
        <r>
          <rPr>
            <b/>
            <sz val="9"/>
            <color indexed="81"/>
            <rFont val="MS P ゴシック"/>
            <charset val="128"/>
          </rPr>
          <t>【出力先】
第二面
建築主3
電話番号</t>
        </r>
        <r>
          <rPr>
            <sz val="9"/>
            <color indexed="81"/>
            <rFont val="MS P ゴシック"/>
            <charset val="128"/>
          </rPr>
          <t xml:space="preserve">
</t>
        </r>
      </text>
    </comment>
    <comment ref="G76" authorId="0" shapeId="0" xr:uid="{00000000-0006-0000-2800-000013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77" authorId="0" shapeId="0" xr:uid="{00000000-0006-0000-2800-000014000000}">
      <text>
        <r>
          <rPr>
            <b/>
            <sz val="9"/>
            <color indexed="81"/>
            <rFont val="MS P ゴシック"/>
            <charset val="128"/>
          </rPr>
          <t xml:space="preserve">【出力先】
第二面
建築主4
氏名
</t>
        </r>
      </text>
    </comment>
    <comment ref="H79" authorId="0" shapeId="0" xr:uid="{00000000-0006-0000-2800-000015000000}">
      <text>
        <r>
          <rPr>
            <b/>
            <sz val="9"/>
            <color indexed="81"/>
            <rFont val="MS P ゴシック"/>
            <charset val="128"/>
          </rPr>
          <t>【出力先】
第二面
建築主4
郵便番号</t>
        </r>
        <r>
          <rPr>
            <sz val="9"/>
            <color indexed="81"/>
            <rFont val="MS P ゴシック"/>
            <charset val="128"/>
          </rPr>
          <t xml:space="preserve">
</t>
        </r>
      </text>
    </comment>
    <comment ref="G80" authorId="0" shapeId="0" xr:uid="{00000000-0006-0000-2800-000016000000}">
      <text>
        <r>
          <rPr>
            <b/>
            <sz val="9"/>
            <color indexed="81"/>
            <rFont val="MS P ゴシック"/>
            <charset val="128"/>
          </rPr>
          <t>【出力先】
第二面
建築主4
住所</t>
        </r>
        <r>
          <rPr>
            <sz val="9"/>
            <color indexed="81"/>
            <rFont val="MS P ゴシック"/>
            <charset val="128"/>
          </rPr>
          <t xml:space="preserve">
</t>
        </r>
      </text>
    </comment>
    <comment ref="G82" authorId="0" shapeId="0" xr:uid="{00000000-0006-0000-2800-000017000000}">
      <text>
        <r>
          <rPr>
            <b/>
            <sz val="9"/>
            <color indexed="81"/>
            <rFont val="MS P ゴシック"/>
            <charset val="128"/>
          </rPr>
          <t>【出力先】
第二面
建築主4
電話番号</t>
        </r>
        <r>
          <rPr>
            <sz val="9"/>
            <color indexed="81"/>
            <rFont val="MS P ゴシック"/>
            <charset val="128"/>
          </rPr>
          <t xml:space="preserve">
</t>
        </r>
      </text>
    </comment>
    <comment ref="C118" authorId="0" shapeId="0" xr:uid="{00000000-0006-0000-2800-000018000000}">
      <text>
        <r>
          <rPr>
            <b/>
            <sz val="9"/>
            <color indexed="81"/>
            <rFont val="MS P ゴシック"/>
            <charset val="128"/>
          </rPr>
          <t>【出力先】
第二面
代理者
事務所名</t>
        </r>
      </text>
    </comment>
    <comment ref="C119" authorId="0" shapeId="0" xr:uid="{00000000-0006-0000-2800-000019000000}">
      <text>
        <r>
          <rPr>
            <b/>
            <sz val="9"/>
            <color indexed="81"/>
            <rFont val="MS P ゴシック"/>
            <charset val="128"/>
          </rPr>
          <t>【出力先】
第二面
代理者
氏名</t>
        </r>
      </text>
    </comment>
    <comment ref="D135" authorId="0" shapeId="0" xr:uid="{00000000-0006-0000-2800-00001A000000}">
      <text>
        <r>
          <rPr>
            <b/>
            <sz val="9"/>
            <color indexed="81"/>
            <rFont val="MS P ゴシック"/>
            <charset val="128"/>
          </rPr>
          <t>【出力先】
第三面
1.地名地番</t>
        </r>
        <r>
          <rPr>
            <sz val="9"/>
            <color indexed="81"/>
            <rFont val="MS P ゴシック"/>
            <charset val="128"/>
          </rPr>
          <t xml:space="preserve">
</t>
        </r>
      </text>
    </comment>
    <comment ref="C142" authorId="0" shapeId="0" xr:uid="{00000000-0006-0000-2800-00001B000000}">
      <text>
        <r>
          <rPr>
            <b/>
            <sz val="9"/>
            <color indexed="81"/>
            <rFont val="MS P ゴシック"/>
            <charset val="128"/>
          </rPr>
          <t>【出力先】
第二面
建築主
住所</t>
        </r>
        <r>
          <rPr>
            <sz val="9"/>
            <color indexed="81"/>
            <rFont val="MS P ゴシック"/>
            <charset val="128"/>
          </rPr>
          <t xml:space="preserve">
</t>
        </r>
      </text>
    </comment>
    <comment ref="C143" authorId="0" shapeId="0" xr:uid="{00000000-0006-0000-2800-00001C000000}">
      <text>
        <r>
          <rPr>
            <b/>
            <sz val="9"/>
            <color indexed="81"/>
            <rFont val="MS P ゴシック"/>
            <charset val="128"/>
          </rPr>
          <t>【出力先】
第二面
建築主
会社名</t>
        </r>
        <r>
          <rPr>
            <sz val="9"/>
            <color indexed="81"/>
            <rFont val="MS P ゴシック"/>
            <charset val="128"/>
          </rPr>
          <t xml:space="preserve">
</t>
        </r>
      </text>
    </comment>
    <comment ref="C144" authorId="0" shapeId="0" xr:uid="{00000000-0006-0000-2800-00001D000000}">
      <text>
        <r>
          <rPr>
            <b/>
            <sz val="9"/>
            <color indexed="81"/>
            <rFont val="MS P ゴシック"/>
            <charset val="128"/>
          </rPr>
          <t xml:space="preserve">【出力先】
第二面
建築主
職名＋氏名
</t>
        </r>
        <r>
          <rPr>
            <sz val="9"/>
            <color indexed="81"/>
            <rFont val="MS P ゴシック"/>
            <charset val="128"/>
          </rPr>
          <t xml:space="preserve">
</t>
        </r>
      </text>
    </comment>
    <comment ref="C146" authorId="0" shapeId="0" xr:uid="{00000000-0006-0000-2800-00001E000000}">
      <text>
        <r>
          <rPr>
            <b/>
            <sz val="9"/>
            <color indexed="81"/>
            <rFont val="MS P ゴシック"/>
            <charset val="128"/>
          </rPr>
          <t>【出力先】
第二面
建築主2
住所</t>
        </r>
        <r>
          <rPr>
            <sz val="9"/>
            <color indexed="81"/>
            <rFont val="MS P ゴシック"/>
            <charset val="128"/>
          </rPr>
          <t xml:space="preserve">
</t>
        </r>
      </text>
    </comment>
    <comment ref="C147" authorId="0" shapeId="0" xr:uid="{00000000-0006-0000-2800-00001F000000}">
      <text>
        <r>
          <rPr>
            <b/>
            <sz val="9"/>
            <color indexed="81"/>
            <rFont val="MS P ゴシック"/>
            <charset val="128"/>
          </rPr>
          <t>【出力先】
第二面
建築主2
会社名</t>
        </r>
        <r>
          <rPr>
            <sz val="9"/>
            <color indexed="81"/>
            <rFont val="MS P ゴシック"/>
            <charset val="128"/>
          </rPr>
          <t xml:space="preserve">
</t>
        </r>
      </text>
    </comment>
    <comment ref="C148" authorId="0" shapeId="0" xr:uid="{00000000-0006-0000-2800-000020000000}">
      <text>
        <r>
          <rPr>
            <b/>
            <sz val="9"/>
            <color indexed="81"/>
            <rFont val="MS P ゴシック"/>
            <charset val="128"/>
          </rPr>
          <t>【出力先】
第二面
建築主2
職名＋氏名</t>
        </r>
        <r>
          <rPr>
            <sz val="9"/>
            <color indexed="81"/>
            <rFont val="MS P ゴシック"/>
            <charset val="128"/>
          </rPr>
          <t xml:space="preserve">
</t>
        </r>
      </text>
    </comment>
    <comment ref="C150" authorId="0" shapeId="0" xr:uid="{00000000-0006-0000-2800-000021000000}">
      <text>
        <r>
          <rPr>
            <b/>
            <sz val="9"/>
            <color indexed="81"/>
            <rFont val="MS P ゴシック"/>
            <charset val="128"/>
          </rPr>
          <t>【出力先】
第二面
建築主3
住所</t>
        </r>
        <r>
          <rPr>
            <sz val="9"/>
            <color indexed="81"/>
            <rFont val="MS P ゴシック"/>
            <charset val="128"/>
          </rPr>
          <t xml:space="preserve">
</t>
        </r>
      </text>
    </comment>
    <comment ref="C151" authorId="0" shapeId="0" xr:uid="{00000000-0006-0000-2800-000022000000}">
      <text>
        <r>
          <rPr>
            <b/>
            <sz val="9"/>
            <color indexed="81"/>
            <rFont val="MS P ゴシック"/>
            <charset val="128"/>
          </rPr>
          <t>【出力先】
第二面
建築主3
会社名</t>
        </r>
        <r>
          <rPr>
            <sz val="9"/>
            <color indexed="81"/>
            <rFont val="MS P ゴシック"/>
            <charset val="128"/>
          </rPr>
          <t xml:space="preserve">
</t>
        </r>
      </text>
    </comment>
    <comment ref="C152" authorId="0" shapeId="0" xr:uid="{00000000-0006-0000-2800-000023000000}">
      <text>
        <r>
          <rPr>
            <b/>
            <sz val="9"/>
            <color indexed="81"/>
            <rFont val="MS P ゴシック"/>
            <charset val="128"/>
          </rPr>
          <t>【出力先】
第二面
建築主3
職名＋氏名</t>
        </r>
      </text>
    </comment>
    <comment ref="C154" authorId="0" shapeId="0" xr:uid="{00000000-0006-0000-2800-000024000000}">
      <text>
        <r>
          <rPr>
            <b/>
            <sz val="9"/>
            <color indexed="81"/>
            <rFont val="MS P ゴシック"/>
            <charset val="128"/>
          </rPr>
          <t>【出力先】
第二面
建築主4
住所</t>
        </r>
        <r>
          <rPr>
            <sz val="9"/>
            <color indexed="81"/>
            <rFont val="MS P ゴシック"/>
            <charset val="128"/>
          </rPr>
          <t xml:space="preserve">
</t>
        </r>
      </text>
    </comment>
    <comment ref="C155" authorId="0" shapeId="0" xr:uid="{00000000-0006-0000-2800-000025000000}">
      <text>
        <r>
          <rPr>
            <b/>
            <sz val="9"/>
            <color indexed="81"/>
            <rFont val="MS P ゴシック"/>
            <charset val="128"/>
          </rPr>
          <t>【出力先】
第二面
建築主4
会社名</t>
        </r>
        <r>
          <rPr>
            <sz val="9"/>
            <color indexed="81"/>
            <rFont val="MS P ゴシック"/>
            <charset val="128"/>
          </rPr>
          <t xml:space="preserve">
</t>
        </r>
      </text>
    </comment>
    <comment ref="C156" authorId="0" shapeId="0" xr:uid="{00000000-0006-0000-2800-000026000000}">
      <text>
        <r>
          <rPr>
            <b/>
            <sz val="9"/>
            <color indexed="81"/>
            <rFont val="MS P ゴシック"/>
            <charset val="128"/>
          </rPr>
          <t>【出力先】
第二面
建築主4
職名＋氏名</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F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F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F00-000003000000}">
      <text>
        <r>
          <rPr>
            <b/>
            <sz val="9"/>
            <color indexed="81"/>
            <rFont val="MS P ゴシック"/>
            <charset val="128"/>
          </rPr>
          <t>自動反映
「目次・入力シート」
会社名</t>
        </r>
      </text>
    </comment>
    <comment ref="B16" authorId="0" shapeId="0" xr:uid="{00000000-0006-0000-0F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F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F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F00-000007000000}">
      <text>
        <r>
          <rPr>
            <b/>
            <sz val="9"/>
            <color indexed="81"/>
            <rFont val="MS P ゴシック"/>
            <charset val="128"/>
          </rPr>
          <t>自動反映
「目次・入力シート」
携帯番号</t>
        </r>
      </text>
    </comment>
    <comment ref="L18" authorId="0" shapeId="0" xr:uid="{00000000-0006-0000-0F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10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10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1000-000003000000}">
      <text>
        <r>
          <rPr>
            <b/>
            <sz val="9"/>
            <color indexed="81"/>
            <rFont val="MS P ゴシック"/>
            <charset val="128"/>
          </rPr>
          <t>自動反映
「目次・入力シート」
会社名</t>
        </r>
      </text>
    </comment>
    <comment ref="B16" authorId="0" shapeId="0" xr:uid="{00000000-0006-0000-10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10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10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1000-000007000000}">
      <text>
        <r>
          <rPr>
            <b/>
            <sz val="9"/>
            <color indexed="81"/>
            <rFont val="MS P ゴシック"/>
            <charset val="128"/>
          </rPr>
          <t>自動反映
「目次・入力シート」
携帯番号</t>
        </r>
      </text>
    </comment>
    <comment ref="L18" authorId="0" shapeId="0" xr:uid="{00000000-0006-0000-10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作成者</author>
  </authors>
  <commentList>
    <comment ref="I9" authorId="0" shapeId="0" xr:uid="{00000000-0006-0000-1100-000001000000}">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1" shapeId="0" xr:uid="{00000000-0006-0000-1100-000002000000}">
      <text>
        <r>
          <rPr>
            <sz val="10"/>
            <color indexed="10"/>
            <rFont val="HG丸ｺﾞｼｯｸM-PRO"/>
            <family val="3"/>
            <charset val="128"/>
          </rPr>
          <t>プルダウンリストから以下を選択
1.0</t>
        </r>
      </text>
    </comment>
    <comment ref="P18" authorId="1" shapeId="0" xr:uid="{00000000-0006-0000-1100-000003000000}">
      <text>
        <r>
          <rPr>
            <sz val="10"/>
            <color indexed="10"/>
            <rFont val="HG丸ｺﾞｼｯｸM-PRO"/>
            <family val="3"/>
            <charset val="128"/>
          </rPr>
          <t>プルダウンリストから以下を選択
第一種
第三種
第四種</t>
        </r>
      </text>
    </comment>
    <comment ref="P19" authorId="1" shapeId="0" xr:uid="{00000000-0006-0000-1100-000004000000}">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0" shapeId="0" xr:uid="{00000000-0006-0000-1100-000005000000}">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1" shapeId="0" xr:uid="{00000000-0006-0000-1100-000006000000}">
      <text>
        <r>
          <rPr>
            <sz val="9"/>
            <color indexed="10"/>
            <rFont val="HG丸ｺﾞｼｯｸM-PRO"/>
            <family val="3"/>
            <charset val="128"/>
          </rPr>
          <t>地区名を記入</t>
        </r>
      </text>
    </comment>
    <comment ref="M33" authorId="1" shapeId="0" xr:uid="{00000000-0006-0000-1100-000007000000}">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1" shapeId="0" xr:uid="{00000000-0006-0000-1100-000008000000}">
      <text>
        <r>
          <rPr>
            <sz val="10"/>
            <color indexed="10"/>
            <rFont val="HG丸ｺﾞｼｯｸM-PRO"/>
            <family val="3"/>
            <charset val="128"/>
          </rPr>
          <t>現況幅員を記入
一番狭い幅員を記入
２以上の道路がある場合は、右欄へ追加記入</t>
        </r>
      </text>
    </comment>
    <comment ref="M36" authorId="1" shapeId="0" xr:uid="{00000000-0006-0000-1100-000009000000}">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1" shapeId="0" xr:uid="{00000000-0006-0000-1100-00000A000000}">
      <text>
        <r>
          <rPr>
            <sz val="10"/>
            <color indexed="10"/>
            <rFont val="HG丸ｺﾞｼｯｸM-PRO"/>
            <family val="3"/>
            <charset val="128"/>
          </rPr>
          <t xml:space="preserve">指定幅員を記入
</t>
        </r>
      </text>
    </comment>
    <comment ref="Q37" authorId="0" shapeId="0" xr:uid="{00000000-0006-0000-1100-00000B000000}">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1" shapeId="0" xr:uid="{00000000-0006-0000-1100-00000C000000}">
      <text>
        <r>
          <rPr>
            <sz val="10"/>
            <color indexed="10"/>
            <rFont val="HG丸ｺﾞｼｯｸM-PRO"/>
            <family val="3"/>
            <charset val="128"/>
          </rPr>
          <t>現況幅員を記入
一番狭い幅員を記入
２以上の道路がある場合は、右欄へ追加記入</t>
        </r>
      </text>
    </comment>
    <comment ref="L49" authorId="1" shapeId="0" xr:uid="{00000000-0006-0000-1100-00000D000000}">
      <text>
        <r>
          <rPr>
            <sz val="10"/>
            <color indexed="10"/>
            <rFont val="HG丸ｺﾞｼｯｸM-PRO"/>
            <family val="3"/>
            <charset val="128"/>
          </rPr>
          <t>プルダウンリストから以下を選択
第１種
第２種
第２種区域－Ａ
第２種区域－Ｂ
第２種区域－Ｃ
第３種</t>
        </r>
      </text>
    </comment>
    <comment ref="Q58" authorId="0" shapeId="0" xr:uid="{00000000-0006-0000-1100-00000E000000}">
      <text>
        <r>
          <rPr>
            <b/>
            <sz val="9"/>
            <color indexed="81"/>
            <rFont val="MS P ゴシック"/>
            <charset val="128"/>
          </rPr>
          <t>2022/4/1　のように入力して下さい
和暦表記になります</t>
        </r>
      </text>
    </comment>
    <comment ref="E61" authorId="0" shapeId="0" xr:uid="{00000000-0006-0000-1100-00000F000000}">
      <text>
        <r>
          <rPr>
            <b/>
            <sz val="9"/>
            <color indexed="81"/>
            <rFont val="MS P ゴシック"/>
            <charset val="128"/>
          </rPr>
          <t>2022/4/1　のように入力して下さい</t>
        </r>
      </text>
    </comment>
    <comment ref="N61" authorId="0" shapeId="0" xr:uid="{00000000-0006-0000-1100-000010000000}">
      <text>
        <r>
          <rPr>
            <b/>
            <sz val="9"/>
            <color indexed="81"/>
            <rFont val="MS P ゴシック"/>
            <charset val="128"/>
          </rPr>
          <t>担当課・係に誤記がある場合があります。正しい名称で記載ください。</t>
        </r>
      </text>
    </comment>
    <comment ref="X61" authorId="0" shapeId="0" xr:uid="{00000000-0006-0000-1100-000011000000}">
      <text>
        <r>
          <rPr>
            <b/>
            <sz val="9"/>
            <color indexed="81"/>
            <rFont val="MS P ゴシック"/>
            <charset val="128"/>
          </rPr>
          <t>協議内容を完結に明記ください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作成者</author>
  </authors>
  <commentList>
    <comment ref="I9" authorId="0" shapeId="0" xr:uid="{00000000-0006-0000-1200-000001000000}">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1" shapeId="0" xr:uid="{00000000-0006-0000-1200-000002000000}">
      <text>
        <r>
          <rPr>
            <sz val="10"/>
            <color indexed="10"/>
            <rFont val="HG丸ｺﾞｼｯｸM-PRO"/>
            <family val="3"/>
            <charset val="128"/>
          </rPr>
          <t>プルダウンリストから以下を選択
1.0</t>
        </r>
      </text>
    </comment>
    <comment ref="P18" authorId="1" shapeId="0" xr:uid="{00000000-0006-0000-1200-000003000000}">
      <text>
        <r>
          <rPr>
            <sz val="10"/>
            <color indexed="10"/>
            <rFont val="HG丸ｺﾞｼｯｸM-PRO"/>
            <family val="3"/>
            <charset val="128"/>
          </rPr>
          <t>プルダウンリストから以下を選択
第一種
第三種
第四種</t>
        </r>
      </text>
    </comment>
    <comment ref="P19" authorId="1" shapeId="0" xr:uid="{00000000-0006-0000-1200-000004000000}">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0" shapeId="0" xr:uid="{00000000-0006-0000-1200-000005000000}">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1" shapeId="0" xr:uid="{00000000-0006-0000-1200-000006000000}">
      <text>
        <r>
          <rPr>
            <sz val="9"/>
            <color indexed="10"/>
            <rFont val="HG丸ｺﾞｼｯｸM-PRO"/>
            <family val="3"/>
            <charset val="128"/>
          </rPr>
          <t>地区名を記入</t>
        </r>
      </text>
    </comment>
    <comment ref="M33" authorId="1" shapeId="0" xr:uid="{00000000-0006-0000-1200-000007000000}">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1" shapeId="0" xr:uid="{00000000-0006-0000-1200-000008000000}">
      <text>
        <r>
          <rPr>
            <sz val="10"/>
            <color indexed="10"/>
            <rFont val="HG丸ｺﾞｼｯｸM-PRO"/>
            <family val="3"/>
            <charset val="128"/>
          </rPr>
          <t>現況幅員を記入
一番狭い幅員を記入
２以上の道路がある場合は、右欄へ追加記入</t>
        </r>
      </text>
    </comment>
    <comment ref="M36" authorId="1" shapeId="0" xr:uid="{00000000-0006-0000-1200-000009000000}">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1" shapeId="0" xr:uid="{00000000-0006-0000-1200-00000A000000}">
      <text>
        <r>
          <rPr>
            <sz val="10"/>
            <color indexed="10"/>
            <rFont val="HG丸ｺﾞｼｯｸM-PRO"/>
            <family val="3"/>
            <charset val="128"/>
          </rPr>
          <t xml:space="preserve">指定幅員を記入
</t>
        </r>
      </text>
    </comment>
    <comment ref="Q37" authorId="0" shapeId="0" xr:uid="{00000000-0006-0000-1200-00000B000000}">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1" shapeId="0" xr:uid="{00000000-0006-0000-1200-00000C000000}">
      <text>
        <r>
          <rPr>
            <sz val="10"/>
            <color indexed="10"/>
            <rFont val="HG丸ｺﾞｼｯｸM-PRO"/>
            <family val="3"/>
            <charset val="128"/>
          </rPr>
          <t>現況幅員を記入
一番狭い幅員を記入
２以上の道路がある場合は、右欄へ追加記入</t>
        </r>
      </text>
    </comment>
    <comment ref="L49" authorId="1" shapeId="0" xr:uid="{00000000-0006-0000-1200-00000D000000}">
      <text>
        <r>
          <rPr>
            <sz val="10"/>
            <color indexed="10"/>
            <rFont val="HG丸ｺﾞｼｯｸM-PRO"/>
            <family val="3"/>
            <charset val="128"/>
          </rPr>
          <t>プルダウンリストから以下を選択
第１種
第２種
第２種区域－Ａ
第２種区域－Ｂ
第２種区域－Ｃ
第３種</t>
        </r>
      </text>
    </comment>
    <comment ref="Q58" authorId="0" shapeId="0" xr:uid="{00000000-0006-0000-1200-00000E000000}">
      <text>
        <r>
          <rPr>
            <b/>
            <sz val="9"/>
            <color indexed="81"/>
            <rFont val="MS P ゴシック"/>
            <charset val="128"/>
          </rPr>
          <t>2022/4/1　のように入力して下さい
和暦表記になります</t>
        </r>
      </text>
    </comment>
    <comment ref="E61" authorId="0" shapeId="0" xr:uid="{00000000-0006-0000-1200-00000F000000}">
      <text>
        <r>
          <rPr>
            <b/>
            <sz val="9"/>
            <color indexed="81"/>
            <rFont val="MS P ゴシック"/>
            <charset val="128"/>
          </rPr>
          <t>2022/4/1　のように入力して下さい</t>
        </r>
      </text>
    </comment>
    <comment ref="N61" authorId="0" shapeId="0" xr:uid="{00000000-0006-0000-1200-000010000000}">
      <text>
        <r>
          <rPr>
            <b/>
            <sz val="9"/>
            <color indexed="81"/>
            <rFont val="MS P ゴシック"/>
            <charset val="128"/>
          </rPr>
          <t>担当課・係に誤記がある場合があります。正しい名称で記載ください。</t>
        </r>
      </text>
    </comment>
    <comment ref="X61" authorId="0" shapeId="0" xr:uid="{00000000-0006-0000-1200-000011000000}">
      <text>
        <r>
          <rPr>
            <b/>
            <sz val="9"/>
            <color indexed="81"/>
            <rFont val="MS P ゴシック"/>
            <charset val="128"/>
          </rPr>
          <t>協議内容を完結に明記ください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10" authorId="0" shapeId="0" xr:uid="{00000000-0006-0000-1300-000001000000}">
      <text>
        <r>
          <rPr>
            <b/>
            <sz val="9"/>
            <color indexed="81"/>
            <rFont val="MS P ゴシック"/>
            <charset val="128"/>
          </rPr>
          <t>【出力先】
第二面
代理者
事務所名</t>
        </r>
      </text>
    </comment>
    <comment ref="C11" authorId="0" shapeId="0" xr:uid="{00000000-0006-0000-1300-000002000000}">
      <text>
        <r>
          <rPr>
            <b/>
            <sz val="9"/>
            <color indexed="81"/>
            <rFont val="MS P ゴシック"/>
            <charset val="128"/>
          </rPr>
          <t>【出力先】
第二面
代理者
氏名</t>
        </r>
      </text>
    </comment>
    <comment ref="D27" authorId="0" shapeId="0" xr:uid="{00000000-0006-0000-1300-000003000000}">
      <text>
        <r>
          <rPr>
            <b/>
            <sz val="9"/>
            <color indexed="81"/>
            <rFont val="MS P ゴシック"/>
            <charset val="128"/>
          </rPr>
          <t>【出力先】
第三面
1.地名地番</t>
        </r>
        <r>
          <rPr>
            <sz val="9"/>
            <color indexed="81"/>
            <rFont val="MS P ゴシック"/>
            <charset val="128"/>
          </rPr>
          <t xml:space="preserve">
</t>
        </r>
      </text>
    </comment>
    <comment ref="C34" authorId="0" shapeId="0" xr:uid="{00000000-0006-0000-1300-000004000000}">
      <text>
        <r>
          <rPr>
            <b/>
            <sz val="9"/>
            <color indexed="81"/>
            <rFont val="MS P ゴシック"/>
            <charset val="128"/>
          </rPr>
          <t>【出力先】
第二面
建築主
住所</t>
        </r>
        <r>
          <rPr>
            <sz val="9"/>
            <color indexed="81"/>
            <rFont val="MS P ゴシック"/>
            <charset val="128"/>
          </rPr>
          <t xml:space="preserve">
</t>
        </r>
      </text>
    </comment>
    <comment ref="C35" authorId="0" shapeId="0" xr:uid="{00000000-0006-0000-1300-000005000000}">
      <text>
        <r>
          <rPr>
            <b/>
            <sz val="9"/>
            <color indexed="81"/>
            <rFont val="MS P ゴシック"/>
            <charset val="128"/>
          </rPr>
          <t>【出力先】
第二面
建築主
会社名</t>
        </r>
        <r>
          <rPr>
            <sz val="9"/>
            <color indexed="81"/>
            <rFont val="MS P ゴシック"/>
            <charset val="128"/>
          </rPr>
          <t xml:space="preserve">
</t>
        </r>
      </text>
    </comment>
    <comment ref="C36" authorId="0" shapeId="0" xr:uid="{00000000-0006-0000-1300-000006000000}">
      <text>
        <r>
          <rPr>
            <b/>
            <sz val="9"/>
            <color indexed="81"/>
            <rFont val="MS P ゴシック"/>
            <charset val="128"/>
          </rPr>
          <t xml:space="preserve">【出力先】
第二面
建築主
職名＋氏名
</t>
        </r>
        <r>
          <rPr>
            <sz val="9"/>
            <color indexed="81"/>
            <rFont val="MS P ゴシック"/>
            <charset val="128"/>
          </rPr>
          <t xml:space="preserve">
</t>
        </r>
      </text>
    </comment>
    <comment ref="C38" authorId="0" shapeId="0" xr:uid="{00000000-0006-0000-1300-000007000000}">
      <text>
        <r>
          <rPr>
            <b/>
            <sz val="9"/>
            <color indexed="81"/>
            <rFont val="MS P ゴシック"/>
            <charset val="128"/>
          </rPr>
          <t>【出力先】
第二面
建築主2
住所</t>
        </r>
        <r>
          <rPr>
            <sz val="9"/>
            <color indexed="81"/>
            <rFont val="MS P ゴシック"/>
            <charset val="128"/>
          </rPr>
          <t xml:space="preserve">
</t>
        </r>
      </text>
    </comment>
    <comment ref="C39" authorId="0" shapeId="0" xr:uid="{00000000-0006-0000-1300-000008000000}">
      <text>
        <r>
          <rPr>
            <b/>
            <sz val="9"/>
            <color indexed="81"/>
            <rFont val="MS P ゴシック"/>
            <charset val="128"/>
          </rPr>
          <t>【出力先】
第二面
建築主2
会社名</t>
        </r>
        <r>
          <rPr>
            <sz val="9"/>
            <color indexed="81"/>
            <rFont val="MS P ゴシック"/>
            <charset val="128"/>
          </rPr>
          <t xml:space="preserve">
</t>
        </r>
      </text>
    </comment>
    <comment ref="C40" authorId="0" shapeId="0" xr:uid="{00000000-0006-0000-1300-000009000000}">
      <text>
        <r>
          <rPr>
            <b/>
            <sz val="9"/>
            <color indexed="81"/>
            <rFont val="MS P ゴシック"/>
            <charset val="128"/>
          </rPr>
          <t>【出力先】
第二面
建築主2
職名＋氏名</t>
        </r>
        <r>
          <rPr>
            <sz val="9"/>
            <color indexed="81"/>
            <rFont val="MS P ゴシック"/>
            <charset val="128"/>
          </rPr>
          <t xml:space="preserve">
</t>
        </r>
      </text>
    </comment>
    <comment ref="C42" authorId="0" shapeId="0" xr:uid="{00000000-0006-0000-1300-00000A000000}">
      <text>
        <r>
          <rPr>
            <b/>
            <sz val="9"/>
            <color indexed="81"/>
            <rFont val="MS P ゴシック"/>
            <charset val="128"/>
          </rPr>
          <t>【出力先】
第二面
建築主3
住所</t>
        </r>
        <r>
          <rPr>
            <sz val="9"/>
            <color indexed="81"/>
            <rFont val="MS P ゴシック"/>
            <charset val="128"/>
          </rPr>
          <t xml:space="preserve">
</t>
        </r>
      </text>
    </comment>
    <comment ref="C43" authorId="0" shapeId="0" xr:uid="{00000000-0006-0000-1300-00000B000000}">
      <text>
        <r>
          <rPr>
            <b/>
            <sz val="9"/>
            <color indexed="81"/>
            <rFont val="MS P ゴシック"/>
            <charset val="128"/>
          </rPr>
          <t>【出力先】
第二面
建築主3
会社名</t>
        </r>
        <r>
          <rPr>
            <sz val="9"/>
            <color indexed="81"/>
            <rFont val="MS P ゴシック"/>
            <charset val="128"/>
          </rPr>
          <t xml:space="preserve">
</t>
        </r>
      </text>
    </comment>
    <comment ref="C44" authorId="0" shapeId="0" xr:uid="{00000000-0006-0000-1300-00000C000000}">
      <text>
        <r>
          <rPr>
            <b/>
            <sz val="9"/>
            <color indexed="81"/>
            <rFont val="MS P ゴシック"/>
            <charset val="128"/>
          </rPr>
          <t>【出力先】
第二面
建築主3
職名＋氏名</t>
        </r>
      </text>
    </comment>
    <comment ref="C46" authorId="0" shapeId="0" xr:uid="{00000000-0006-0000-1300-00000D000000}">
      <text>
        <r>
          <rPr>
            <b/>
            <sz val="9"/>
            <color indexed="81"/>
            <rFont val="MS P ゴシック"/>
            <charset val="128"/>
          </rPr>
          <t>【出力先】
第二面
建築主4
住所</t>
        </r>
        <r>
          <rPr>
            <sz val="9"/>
            <color indexed="81"/>
            <rFont val="MS P ゴシック"/>
            <charset val="128"/>
          </rPr>
          <t xml:space="preserve">
</t>
        </r>
      </text>
    </comment>
    <comment ref="C47" authorId="0" shapeId="0" xr:uid="{00000000-0006-0000-1300-00000E000000}">
      <text>
        <r>
          <rPr>
            <b/>
            <sz val="9"/>
            <color indexed="81"/>
            <rFont val="MS P ゴシック"/>
            <charset val="128"/>
          </rPr>
          <t>【出力先】
第二面
建築主4
会社名</t>
        </r>
        <r>
          <rPr>
            <sz val="9"/>
            <color indexed="81"/>
            <rFont val="MS P ゴシック"/>
            <charset val="128"/>
          </rPr>
          <t xml:space="preserve">
</t>
        </r>
      </text>
    </comment>
    <comment ref="C48" authorId="0" shapeId="0" xr:uid="{00000000-0006-0000-1300-00000F000000}">
      <text>
        <r>
          <rPr>
            <b/>
            <sz val="9"/>
            <color indexed="81"/>
            <rFont val="MS P ゴシック"/>
            <charset val="128"/>
          </rPr>
          <t>【出力先】
第二面
建築主4
職名＋氏名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4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400-000002000000}">
      <text>
        <r>
          <rPr>
            <b/>
            <sz val="9"/>
            <color indexed="81"/>
            <rFont val="MS P ゴシック"/>
            <family val="3"/>
            <charset val="128"/>
          </rPr>
          <t xml:space="preserve">【出力先】
第二面
建築主
会社名＋役職＋氏名
</t>
        </r>
      </text>
    </comment>
    <comment ref="H14" authorId="0" shapeId="0" xr:uid="{00000000-0006-0000-14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4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4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4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4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4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4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4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4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400-00000C000000}">
      <text>
        <r>
          <rPr>
            <b/>
            <sz val="9"/>
            <color indexed="81"/>
            <rFont val="MS P ゴシック"/>
            <family val="3"/>
            <charset val="128"/>
          </rPr>
          <t>【出力先】
第二面
工事監理者（代表）
事務所名</t>
        </r>
      </text>
    </comment>
    <comment ref="H30" authorId="0" shapeId="0" xr:uid="{00000000-0006-0000-14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4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4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400-000010000000}">
      <text>
        <r>
          <rPr>
            <sz val="9"/>
            <color indexed="81"/>
            <rFont val="MS P ゴシック"/>
            <family val="3"/>
            <charset val="128"/>
          </rPr>
          <t>【出力先】
第三面
15.工事着手予定年月日</t>
        </r>
      </text>
    </comment>
    <comment ref="I58" authorId="0" shapeId="0" xr:uid="{00000000-0006-0000-1400-000011000000}">
      <text>
        <r>
          <rPr>
            <sz val="9"/>
            <color indexed="81"/>
            <rFont val="MS P ゴシック"/>
            <family val="3"/>
            <charset val="128"/>
          </rPr>
          <t>【出力先】
第三面
16.工事完了予定年月日</t>
        </r>
      </text>
    </comment>
    <comment ref="I61" authorId="0" shapeId="0" xr:uid="{00000000-0006-0000-14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4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400-000014000000}">
      <text>
        <r>
          <rPr>
            <b/>
            <sz val="9"/>
            <color indexed="81"/>
            <rFont val="MS P ゴシック"/>
            <family val="3"/>
            <charset val="128"/>
          </rPr>
          <t>市区町村、住宅供給公社等の市区町村関係機関</t>
        </r>
      </text>
    </comment>
    <comment ref="I62" authorId="0" shapeId="0" xr:uid="{00000000-0006-0000-14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4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4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4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4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4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4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4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4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4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4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4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4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4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400-000023000000}">
      <text>
        <r>
          <rPr>
            <b/>
            <sz val="9"/>
            <color indexed="81"/>
            <rFont val="ＭＳ Ｐゴシック"/>
            <family val="3"/>
            <charset val="128"/>
          </rPr>
          <t>「リスト_2」シートで、
用途番号を確認できます</t>
        </r>
      </text>
    </comment>
    <comment ref="N79" authorId="1" shapeId="0" xr:uid="{00000000-0006-0000-1400-000024000000}">
      <text>
        <r>
          <rPr>
            <b/>
            <sz val="9"/>
            <color indexed="81"/>
            <rFont val="ＭＳ Ｐゴシック"/>
            <family val="3"/>
            <charset val="128"/>
          </rPr>
          <t>「リスト_2」シートで、
用途番号を確認できます</t>
        </r>
      </text>
    </comment>
    <comment ref="H82" authorId="0" shapeId="0" xr:uid="{00000000-0006-0000-14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4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4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4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4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4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4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4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4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400-00002E000000}">
      <text>
        <r>
          <rPr>
            <b/>
            <sz val="9"/>
            <color indexed="81"/>
            <rFont val="MS P ゴシック"/>
            <family val="3"/>
            <charset val="128"/>
          </rPr>
          <t>学校の校舎、体育館その他これらに類するもの</t>
        </r>
      </text>
    </comment>
    <comment ref="M88" authorId="0" shapeId="0" xr:uid="{00000000-0006-0000-1400-00002F000000}">
      <text>
        <r>
          <rPr>
            <b/>
            <sz val="9"/>
            <color indexed="81"/>
            <rFont val="MS P ゴシック"/>
            <family val="3"/>
            <charset val="128"/>
          </rPr>
          <t>学校の校舎、体育館その他これらに類するもの</t>
        </r>
      </text>
    </comment>
    <comment ref="S88" authorId="0" shapeId="0" xr:uid="{00000000-0006-0000-1400-000030000000}">
      <text>
        <r>
          <rPr>
            <b/>
            <sz val="9"/>
            <color indexed="81"/>
            <rFont val="MS P ゴシック"/>
            <family val="3"/>
            <charset val="128"/>
          </rPr>
          <t>学校の校舎、体育館その他これらに類するもの</t>
        </r>
      </text>
    </comment>
    <comment ref="G90" authorId="0" shapeId="0" xr:uid="{00000000-0006-0000-1400-000031000000}">
      <text>
        <r>
          <rPr>
            <b/>
            <sz val="9"/>
            <color indexed="81"/>
            <rFont val="MS P ゴシック"/>
            <family val="3"/>
            <charset val="128"/>
          </rPr>
          <t>居住専用建築物又は(1)から(6)までに該当しない建築物</t>
        </r>
      </text>
    </comment>
    <comment ref="M90" authorId="0" shapeId="0" xr:uid="{00000000-0006-0000-1400-000032000000}">
      <text>
        <r>
          <rPr>
            <b/>
            <sz val="9"/>
            <color indexed="81"/>
            <rFont val="MS P ゴシック"/>
            <family val="3"/>
            <charset val="128"/>
          </rPr>
          <t>居住専用建築物又は(1)から(6)までに該当しない建築物</t>
        </r>
      </text>
    </comment>
    <comment ref="S90" authorId="0" shapeId="0" xr:uid="{00000000-0006-0000-1400-000033000000}">
      <text>
        <r>
          <rPr>
            <b/>
            <sz val="9"/>
            <color indexed="81"/>
            <rFont val="MS P ゴシック"/>
            <family val="3"/>
            <charset val="128"/>
          </rPr>
          <t>居住専用建築物又は(1)から(6)までに該当しない建築物</t>
        </r>
      </text>
    </comment>
    <comment ref="G91" authorId="1" shapeId="0" xr:uid="{00000000-0006-0000-14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4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4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4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400-000038000000}">
      <text>
        <r>
          <rPr>
            <b/>
            <sz val="9"/>
            <color indexed="81"/>
            <rFont val="MS P ゴシック"/>
            <family val="3"/>
            <charset val="128"/>
          </rPr>
          <t>【出力先】
第三面
15.16　から自動計算</t>
        </r>
      </text>
    </comment>
    <comment ref="N98" authorId="0" shapeId="0" xr:uid="{00000000-0006-0000-1400-000039000000}">
      <text>
        <r>
          <rPr>
            <b/>
            <sz val="9"/>
            <color indexed="81"/>
            <rFont val="MS P ゴシック"/>
            <family val="3"/>
            <charset val="128"/>
          </rPr>
          <t>2棟目の、
建築物の規模に見合う月数</t>
        </r>
      </text>
    </comment>
    <comment ref="T98" authorId="0" shapeId="0" xr:uid="{00000000-0006-0000-1400-00003A000000}">
      <text>
        <r>
          <rPr>
            <b/>
            <sz val="9"/>
            <color indexed="81"/>
            <rFont val="MS P ゴシック"/>
            <family val="3"/>
            <charset val="128"/>
          </rPr>
          <t>2棟目の、
建築物の規模に見合う月数</t>
        </r>
      </text>
    </comment>
    <comment ref="H100" authorId="0" shapeId="0" xr:uid="{00000000-0006-0000-1400-00003B000000}">
      <text>
        <r>
          <rPr>
            <b/>
            <sz val="9"/>
            <color indexed="81"/>
            <rFont val="MS P ゴシック"/>
            <family val="3"/>
            <charset val="128"/>
          </rPr>
          <t>【出力先】
第四面　1.番号が1
12.ロ　申請部分の合計</t>
        </r>
      </text>
    </comment>
    <comment ref="N100" authorId="0" shapeId="0" xr:uid="{00000000-0006-0000-14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400-00003D000000}">
      <text>
        <r>
          <rPr>
            <b/>
            <sz val="9"/>
            <color indexed="81"/>
            <rFont val="MS P ゴシック"/>
            <family val="3"/>
            <charset val="128"/>
          </rPr>
          <t>【出力先】
第四面　1欄の番号が3
12.ロ　申請部分の合計</t>
        </r>
      </text>
    </comment>
    <comment ref="H101" authorId="0" shapeId="0" xr:uid="{00000000-0006-0000-14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4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4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4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4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4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4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4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4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4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4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400-000049000000}">
      <text>
        <r>
          <rPr>
            <b/>
            <sz val="9"/>
            <color indexed="81"/>
            <rFont val="MS P ゴシック"/>
            <family val="3"/>
            <charset val="128"/>
          </rPr>
          <t>当該建築物の数が２以上のときは、一の建築物（１棟）ごとに作成</t>
        </r>
      </text>
    </comment>
    <comment ref="F114" authorId="0" shapeId="0" xr:uid="{00000000-0006-0000-14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4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4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4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4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400-00004F000000}">
      <text>
        <r>
          <rPr>
            <b/>
            <sz val="9"/>
            <color indexed="81"/>
            <rFont val="MS P ゴシック"/>
            <family val="3"/>
            <charset val="128"/>
          </rPr>
          <t>都市再生機構が分譲又は賃貸を目的として建てる住宅</t>
        </r>
      </text>
    </comment>
    <comment ref="R118" authorId="0" shapeId="0" xr:uid="{00000000-0006-0000-14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4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4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4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4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4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4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4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400-000058000000}">
      <text>
        <r>
          <rPr>
            <b/>
            <sz val="9"/>
            <color indexed="81"/>
            <rFont val="ＭＳ Ｐゴシック"/>
            <family val="3"/>
            <charset val="128"/>
          </rPr>
          <t>「リスト_2」シートで、
用途番号を確認できます</t>
        </r>
      </text>
    </comment>
    <comment ref="N167" authorId="1" shapeId="0" xr:uid="{00000000-0006-0000-1400-000059000000}">
      <text>
        <r>
          <rPr>
            <b/>
            <sz val="9"/>
            <color indexed="81"/>
            <rFont val="ＭＳ Ｐゴシック"/>
            <family val="3"/>
            <charset val="128"/>
          </rPr>
          <t>「リスト_2」シートで、
用途番号を確認できます</t>
        </r>
      </text>
    </comment>
    <comment ref="G220" authorId="0" shapeId="0" xr:uid="{00000000-0006-0000-1400-00005A000000}">
      <text>
        <r>
          <rPr>
            <b/>
            <sz val="9"/>
            <color indexed="81"/>
            <rFont val="MS P ゴシック"/>
            <family val="3"/>
            <charset val="128"/>
          </rPr>
          <t xml:space="preserve">【出力先】
第二面
建築主2
会社名＋役職＋氏名
</t>
        </r>
      </text>
    </comment>
    <comment ref="H222" authorId="0" shapeId="0" xr:uid="{00000000-0006-0000-14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4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4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400-00005E000000}">
      <text>
        <r>
          <rPr>
            <b/>
            <sz val="9"/>
            <color indexed="81"/>
            <rFont val="MS P ゴシック"/>
            <family val="3"/>
            <charset val="128"/>
          </rPr>
          <t xml:space="preserve">【出力先】
第二面
建築主3
会社名＋役職＋氏名
</t>
        </r>
      </text>
    </comment>
    <comment ref="H230" authorId="0" shapeId="0" xr:uid="{00000000-0006-0000-14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4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4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400-000062000000}">
      <text>
        <r>
          <rPr>
            <b/>
            <sz val="9"/>
            <color indexed="81"/>
            <rFont val="MS P ゴシック"/>
            <family val="3"/>
            <charset val="128"/>
          </rPr>
          <t xml:space="preserve">【出力先】
第二面
建築主4
会社名＋役職＋氏名
</t>
        </r>
      </text>
    </comment>
    <comment ref="H238" authorId="0" shapeId="0" xr:uid="{00000000-0006-0000-14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4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4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5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500-000002000000}">
      <text>
        <r>
          <rPr>
            <b/>
            <sz val="9"/>
            <color indexed="81"/>
            <rFont val="MS P ゴシック"/>
            <family val="3"/>
            <charset val="128"/>
          </rPr>
          <t xml:space="preserve">【出力先】
第二面
建築主
会社名＋役職＋氏名
</t>
        </r>
      </text>
    </comment>
    <comment ref="H14" authorId="0" shapeId="0" xr:uid="{00000000-0006-0000-15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5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5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5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5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5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5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5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5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500-00000C000000}">
      <text>
        <r>
          <rPr>
            <b/>
            <sz val="9"/>
            <color indexed="81"/>
            <rFont val="MS P ゴシック"/>
            <family val="3"/>
            <charset val="128"/>
          </rPr>
          <t>【出力先】
第二面
工事監理者（代表）
事務所名</t>
        </r>
      </text>
    </comment>
    <comment ref="H30" authorId="0" shapeId="0" xr:uid="{00000000-0006-0000-15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5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5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500-000010000000}">
      <text>
        <r>
          <rPr>
            <sz val="9"/>
            <color indexed="81"/>
            <rFont val="MS P ゴシック"/>
            <family val="3"/>
            <charset val="128"/>
          </rPr>
          <t>【出力先】
第三面
15.工事着手予定年月日</t>
        </r>
      </text>
    </comment>
    <comment ref="I58" authorId="0" shapeId="0" xr:uid="{00000000-0006-0000-1500-000011000000}">
      <text>
        <r>
          <rPr>
            <sz val="9"/>
            <color indexed="81"/>
            <rFont val="MS P ゴシック"/>
            <family val="3"/>
            <charset val="128"/>
          </rPr>
          <t>【出力先】
第三面
16.工事完了予定年月日</t>
        </r>
      </text>
    </comment>
    <comment ref="I61" authorId="0" shapeId="0" xr:uid="{00000000-0006-0000-15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5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500-000014000000}">
      <text>
        <r>
          <rPr>
            <b/>
            <sz val="9"/>
            <color indexed="81"/>
            <rFont val="MS P ゴシック"/>
            <family val="3"/>
            <charset val="128"/>
          </rPr>
          <t>市区町村、住宅供給公社等の市区町村関係機関</t>
        </r>
      </text>
    </comment>
    <comment ref="I62" authorId="0" shapeId="0" xr:uid="{00000000-0006-0000-15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5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5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5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5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5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5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5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5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5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5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5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5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5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500-000023000000}">
      <text>
        <r>
          <rPr>
            <b/>
            <sz val="9"/>
            <color indexed="81"/>
            <rFont val="ＭＳ Ｐゴシック"/>
            <family val="3"/>
            <charset val="128"/>
          </rPr>
          <t>「リスト_2」シートで、
用途番号を確認できます</t>
        </r>
      </text>
    </comment>
    <comment ref="N79" authorId="1" shapeId="0" xr:uid="{00000000-0006-0000-1500-000024000000}">
      <text>
        <r>
          <rPr>
            <b/>
            <sz val="9"/>
            <color indexed="81"/>
            <rFont val="ＭＳ Ｐゴシック"/>
            <family val="3"/>
            <charset val="128"/>
          </rPr>
          <t>「リスト_2」シートで、
用途番号を確認できます</t>
        </r>
      </text>
    </comment>
    <comment ref="H82" authorId="0" shapeId="0" xr:uid="{00000000-0006-0000-15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5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5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5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5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5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5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5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5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500-00002E000000}">
      <text>
        <r>
          <rPr>
            <b/>
            <sz val="9"/>
            <color indexed="81"/>
            <rFont val="MS P ゴシック"/>
            <family val="3"/>
            <charset val="128"/>
          </rPr>
          <t>学校の校舎、体育館その他これらに類するもの</t>
        </r>
      </text>
    </comment>
    <comment ref="M88" authorId="0" shapeId="0" xr:uid="{00000000-0006-0000-1500-00002F000000}">
      <text>
        <r>
          <rPr>
            <b/>
            <sz val="9"/>
            <color indexed="81"/>
            <rFont val="MS P ゴシック"/>
            <family val="3"/>
            <charset val="128"/>
          </rPr>
          <t>学校の校舎、体育館その他これらに類するもの</t>
        </r>
      </text>
    </comment>
    <comment ref="S88" authorId="0" shapeId="0" xr:uid="{00000000-0006-0000-1500-000030000000}">
      <text>
        <r>
          <rPr>
            <b/>
            <sz val="9"/>
            <color indexed="81"/>
            <rFont val="MS P ゴシック"/>
            <family val="3"/>
            <charset val="128"/>
          </rPr>
          <t>学校の校舎、体育館その他これらに類するもの</t>
        </r>
      </text>
    </comment>
    <comment ref="G90" authorId="0" shapeId="0" xr:uid="{00000000-0006-0000-1500-000031000000}">
      <text>
        <r>
          <rPr>
            <b/>
            <sz val="9"/>
            <color indexed="81"/>
            <rFont val="MS P ゴシック"/>
            <family val="3"/>
            <charset val="128"/>
          </rPr>
          <t>居住専用建築物又は(1)から(6)までに該当しない建築物</t>
        </r>
      </text>
    </comment>
    <comment ref="M90" authorId="0" shapeId="0" xr:uid="{00000000-0006-0000-1500-000032000000}">
      <text>
        <r>
          <rPr>
            <b/>
            <sz val="9"/>
            <color indexed="81"/>
            <rFont val="MS P ゴシック"/>
            <family val="3"/>
            <charset val="128"/>
          </rPr>
          <t>居住専用建築物又は(1)から(6)までに該当しない建築物</t>
        </r>
      </text>
    </comment>
    <comment ref="S90" authorId="0" shapeId="0" xr:uid="{00000000-0006-0000-1500-000033000000}">
      <text>
        <r>
          <rPr>
            <b/>
            <sz val="9"/>
            <color indexed="81"/>
            <rFont val="MS P ゴシック"/>
            <family val="3"/>
            <charset val="128"/>
          </rPr>
          <t>居住専用建築物又は(1)から(6)までに該当しない建築物</t>
        </r>
      </text>
    </comment>
    <comment ref="G91" authorId="1" shapeId="0" xr:uid="{00000000-0006-0000-15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5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5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5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500-000038000000}">
      <text>
        <r>
          <rPr>
            <b/>
            <sz val="9"/>
            <color indexed="81"/>
            <rFont val="MS P ゴシック"/>
            <family val="3"/>
            <charset val="128"/>
          </rPr>
          <t>【出力先】
第三面
15.16　から自動計算</t>
        </r>
      </text>
    </comment>
    <comment ref="N98" authorId="0" shapeId="0" xr:uid="{00000000-0006-0000-1500-000039000000}">
      <text>
        <r>
          <rPr>
            <b/>
            <sz val="9"/>
            <color indexed="81"/>
            <rFont val="MS P ゴシック"/>
            <family val="3"/>
            <charset val="128"/>
          </rPr>
          <t>2棟目の、
建築物の規模に見合う月数</t>
        </r>
      </text>
    </comment>
    <comment ref="T98" authorId="0" shapeId="0" xr:uid="{00000000-0006-0000-1500-00003A000000}">
      <text>
        <r>
          <rPr>
            <b/>
            <sz val="9"/>
            <color indexed="81"/>
            <rFont val="MS P ゴシック"/>
            <family val="3"/>
            <charset val="128"/>
          </rPr>
          <t>2棟目の、
建築物の規模に見合う月数</t>
        </r>
      </text>
    </comment>
    <comment ref="H100" authorId="0" shapeId="0" xr:uid="{00000000-0006-0000-1500-00003B000000}">
      <text>
        <r>
          <rPr>
            <b/>
            <sz val="9"/>
            <color indexed="81"/>
            <rFont val="MS P ゴシック"/>
            <family val="3"/>
            <charset val="128"/>
          </rPr>
          <t>【出力先】
第四面　1.番号が1
12.ロ　申請部分の合計</t>
        </r>
      </text>
    </comment>
    <comment ref="N100" authorId="0" shapeId="0" xr:uid="{00000000-0006-0000-15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500-00003D000000}">
      <text>
        <r>
          <rPr>
            <b/>
            <sz val="9"/>
            <color indexed="81"/>
            <rFont val="MS P ゴシック"/>
            <family val="3"/>
            <charset val="128"/>
          </rPr>
          <t>【出力先】
第四面　1欄の番号が3
12.ロ　申請部分の合計</t>
        </r>
      </text>
    </comment>
    <comment ref="H101" authorId="0" shapeId="0" xr:uid="{00000000-0006-0000-15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5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5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5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5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5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5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5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5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5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5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500-000049000000}">
      <text>
        <r>
          <rPr>
            <b/>
            <sz val="9"/>
            <color indexed="81"/>
            <rFont val="MS P ゴシック"/>
            <family val="3"/>
            <charset val="128"/>
          </rPr>
          <t>当該建築物の数が２以上のときは、一の建築物（１棟）ごとに作成</t>
        </r>
      </text>
    </comment>
    <comment ref="F114" authorId="0" shapeId="0" xr:uid="{00000000-0006-0000-15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5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5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5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5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500-00004F000000}">
      <text>
        <r>
          <rPr>
            <b/>
            <sz val="9"/>
            <color indexed="81"/>
            <rFont val="MS P ゴシック"/>
            <family val="3"/>
            <charset val="128"/>
          </rPr>
          <t>都市再生機構が分譲又は賃貸を目的として建てる住宅</t>
        </r>
      </text>
    </comment>
    <comment ref="R118" authorId="0" shapeId="0" xr:uid="{00000000-0006-0000-15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5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5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5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5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5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5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5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500-000058000000}">
      <text>
        <r>
          <rPr>
            <b/>
            <sz val="9"/>
            <color indexed="81"/>
            <rFont val="ＭＳ Ｐゴシック"/>
            <family val="3"/>
            <charset val="128"/>
          </rPr>
          <t>「リスト_2」シートで、
用途番号を確認できます</t>
        </r>
      </text>
    </comment>
    <comment ref="N167" authorId="1" shapeId="0" xr:uid="{00000000-0006-0000-1500-000059000000}">
      <text>
        <r>
          <rPr>
            <b/>
            <sz val="9"/>
            <color indexed="81"/>
            <rFont val="ＭＳ Ｐゴシック"/>
            <family val="3"/>
            <charset val="128"/>
          </rPr>
          <t>「リスト_2」シートで、
用途番号を確認できます</t>
        </r>
      </text>
    </comment>
    <comment ref="G220" authorId="0" shapeId="0" xr:uid="{00000000-0006-0000-1500-00005A000000}">
      <text>
        <r>
          <rPr>
            <b/>
            <sz val="9"/>
            <color indexed="81"/>
            <rFont val="MS P ゴシック"/>
            <family val="3"/>
            <charset val="128"/>
          </rPr>
          <t xml:space="preserve">【出力先】
第二面
建築主2
会社名＋役職＋氏名
</t>
        </r>
      </text>
    </comment>
    <comment ref="H222" authorId="0" shapeId="0" xr:uid="{00000000-0006-0000-15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5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5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500-00005E000000}">
      <text>
        <r>
          <rPr>
            <b/>
            <sz val="9"/>
            <color indexed="81"/>
            <rFont val="MS P ゴシック"/>
            <family val="3"/>
            <charset val="128"/>
          </rPr>
          <t xml:space="preserve">【出力先】
第二面
建築主3
会社名＋役職＋氏名
</t>
        </r>
      </text>
    </comment>
    <comment ref="H230" authorId="0" shapeId="0" xr:uid="{00000000-0006-0000-15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5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5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500-000062000000}">
      <text>
        <r>
          <rPr>
            <b/>
            <sz val="9"/>
            <color indexed="81"/>
            <rFont val="MS P ゴシック"/>
            <family val="3"/>
            <charset val="128"/>
          </rPr>
          <t xml:space="preserve">【出力先】
第二面
建築主4
会社名＋役職＋氏名
</t>
        </r>
      </text>
    </comment>
    <comment ref="H238" authorId="0" shapeId="0" xr:uid="{00000000-0006-0000-15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5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5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sharedStrings.xml><?xml version="1.0" encoding="utf-8"?>
<sst xmlns="http://schemas.openxmlformats.org/spreadsheetml/2006/main" count="9844" uniqueCount="4090">
  <si>
    <t>記</t>
  </si>
  <si>
    <t>建築物</t>
  </si>
  <si>
    <t>建築設備（昇降機）</t>
  </si>
  <si>
    <t>建築設備（昇降機以外）</t>
  </si>
  <si>
    <t>月</t>
  </si>
  <si>
    <t>その他</t>
  </si>
  <si>
    <t>）</t>
  </si>
  <si>
    <t>出力シート名</t>
  </si>
  <si>
    <t>**_output_sheetname</t>
  </si>
  <si>
    <t>cst__output_sheetname</t>
  </si>
  <si>
    <t>タイトル</t>
  </si>
  <si>
    <t>**_output_title</t>
  </si>
  <si>
    <t>cst__output_title</t>
  </si>
  <si>
    <t>建築工事届</t>
  </si>
  <si>
    <t>第三面</t>
  </si>
  <si>
    <t>建築主</t>
  </si>
  <si>
    <t>役職</t>
  </si>
  <si>
    <t/>
  </si>
  <si>
    <t>会社名</t>
  </si>
  <si>
    <t>氏名</t>
  </si>
  <si>
    <t>郵便番号</t>
  </si>
  <si>
    <t>住所</t>
  </si>
  <si>
    <t>電話番号</t>
  </si>
  <si>
    <t>事務所 資格</t>
  </si>
  <si>
    <t>事務所名</t>
  </si>
  <si>
    <t>所在地</t>
  </si>
  <si>
    <t>主要用途</t>
  </si>
  <si>
    <t>フリガナ</t>
  </si>
  <si>
    <t>□</t>
  </si>
  <si>
    <t>引受番号</t>
  </si>
  <si>
    <t>引受日</t>
  </si>
  <si>
    <t>確認済証番号</t>
  </si>
  <si>
    <t>確認済証交付日</t>
  </si>
  <si>
    <t>代理者</t>
  </si>
  <si>
    <t>施工者</t>
  </si>
  <si>
    <t>備考（建築物名称）</t>
  </si>
  <si>
    <t>第四面</t>
  </si>
  <si>
    <t>営業所名</t>
  </si>
  <si>
    <t>内外の別</t>
  </si>
  <si>
    <t>工事種別</t>
  </si>
  <si>
    <t>階数－地上</t>
  </si>
  <si>
    <t>階数－地下</t>
  </si>
  <si>
    <t>構造</t>
  </si>
  <si>
    <t>構造の一部</t>
  </si>
  <si>
    <t>高さ－最高の高さ</t>
  </si>
  <si>
    <t>高さ－最高の軒の高さ</t>
  </si>
  <si>
    <t>一戸建ての住宅</t>
  </si>
  <si>
    <t>新築</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</si>
  <si>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</si>
  <si>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</si>
  <si>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</si>
  <si>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</si>
  <si>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</si>
  <si>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</si>
  <si>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</si>
  <si>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</si>
  <si>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</si>
  <si>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</si>
  <si>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</si>
  <si>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</si>
  <si>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</si>
  <si>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</si>
  <si>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</si>
  <si>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</si>
  <si>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</si>
  <si>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</si>
  <si>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</si>
  <si>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</si>
  <si>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</si>
  <si>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</si>
  <si>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</si>
  <si>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</si>
  <si>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</si>
  <si>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</si>
  <si>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</si>
  <si>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</si>
  <si>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</si>
  <si>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</si>
  <si>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</si>
  <si>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</si>
  <si>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</si>
  <si>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</si>
  <si>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</si>
  <si>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</si>
  <si>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</si>
  <si>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</si>
  <si>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</si>
  <si>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</si>
  <si>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</si>
  <si>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</si>
  <si>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</si>
  <si>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</si>
  <si>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</si>
  <si>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</si>
  <si>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</si>
  <si>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</si>
  <si>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</si>
  <si>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</si>
  <si>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</si>
  <si>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</si>
  <si>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</si>
  <si>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</si>
  <si>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</si>
  <si>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</si>
  <si>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</si>
  <si>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</si>
  <si>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</si>
  <si>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</si>
  <si>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</si>
  <si>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</si>
  <si>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</si>
  <si>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</si>
  <si>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木造</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</si>
  <si>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</si>
  <si>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</si>
  <si>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</si>
  <si>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</si>
  <si>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</si>
  <si>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</si>
  <si>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</si>
  <si>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</si>
  <si>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</si>
  <si>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</si>
  <si>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</si>
  <si>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</si>
  <si>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</si>
  <si>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</si>
  <si>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</si>
  <si>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</si>
  <si>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</si>
  <si>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</si>
  <si>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</si>
  <si>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</si>
  <si>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</si>
  <si>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</si>
  <si>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</si>
  <si>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</si>
  <si>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</si>
  <si>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</si>
  <si>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</si>
  <si>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</si>
  <si>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</si>
  <si>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</si>
  <si>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</si>
  <si>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</si>
  <si>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</si>
  <si>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</si>
  <si>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</si>
  <si>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</si>
  <si>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</si>
  <si>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</si>
  <si>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</si>
  <si>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</si>
  <si>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</si>
  <si>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</si>
  <si>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</si>
  <si>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</si>
  <si>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</si>
  <si>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</si>
  <si>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</si>
  <si>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</si>
  <si>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</si>
  <si>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</si>
  <si>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</si>
  <si>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</si>
  <si>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</si>
  <si>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</si>
  <si>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</si>
  <si>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</si>
  <si>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鉄骨造</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</si>
  <si>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</si>
  <si>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</si>
  <si>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</si>
  <si>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</si>
  <si>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</si>
  <si>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</si>
  <si>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</si>
  <si>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</si>
  <si>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</si>
  <si>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</si>
  <si>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</si>
  <si>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</si>
  <si>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</si>
  <si>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</si>
  <si>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</si>
  <si>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</si>
  <si>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</si>
  <si>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</si>
  <si>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</si>
  <si>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</si>
  <si>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</si>
  <si>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</si>
  <si>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</si>
  <si>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</si>
  <si>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</si>
  <si>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</si>
  <si>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</si>
  <si>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</si>
  <si>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</si>
  <si>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</si>
  <si>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</si>
  <si>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</si>
  <si>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</si>
  <si>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</si>
  <si>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</si>
  <si>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</si>
  <si>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</si>
  <si>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</si>
  <si>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</si>
  <si>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</si>
  <si>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</si>
  <si>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</si>
  <si>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</si>
  <si>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</si>
  <si>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</si>
  <si>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</si>
  <si>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</si>
  <si>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</si>
  <si>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</si>
  <si>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</si>
  <si>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</si>
  <si>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</si>
  <si>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</si>
  <si>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</si>
  <si>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</si>
  <si>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</si>
  <si>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</si>
  <si>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</si>
  <si>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</si>
  <si>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</si>
  <si>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</si>
  <si>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</si>
  <si>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</si>
  <si>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</si>
  <si>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</si>
  <si>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</si>
  <si>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</si>
  <si>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</si>
  <si>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</si>
  <si>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</si>
  <si>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</si>
  <si>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</si>
  <si>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</si>
  <si>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</si>
  <si>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</si>
  <si>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</si>
  <si>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</si>
  <si>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</si>
  <si>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</si>
  <si>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</si>
  <si>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</si>
  <si>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</si>
  <si>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</si>
  <si>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</si>
  <si>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</si>
  <si>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</si>
  <si>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</si>
  <si>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</si>
  <si>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</si>
  <si>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</si>
  <si>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</si>
  <si>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</si>
  <si>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</si>
  <si>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</si>
  <si>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</si>
  <si>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</si>
  <si>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</si>
  <si>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</si>
  <si>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</si>
  <si>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</si>
  <si>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</si>
  <si>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</si>
  <si>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</si>
  <si>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</si>
  <si>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</si>
  <si>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</si>
  <si>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</si>
  <si>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</si>
  <si>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</si>
  <si>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</si>
  <si>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</si>
  <si>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</si>
  <si>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</si>
  <si>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</si>
  <si>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</si>
  <si>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</si>
  <si>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</si>
  <si>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</si>
  <si>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</si>
  <si>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</si>
  <si>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</si>
  <si>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</si>
  <si>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</si>
  <si>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</si>
  <si>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</si>
  <si>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</si>
  <si>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</si>
  <si>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</si>
  <si>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</si>
  <si>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</si>
  <si>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</si>
  <si>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</si>
  <si>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</si>
  <si>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</si>
  <si>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</si>
  <si>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</si>
  <si>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</si>
  <si>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</si>
  <si>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</si>
  <si>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</si>
  <si>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</si>
  <si>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</si>
  <si>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</si>
  <si>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</si>
  <si>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</si>
  <si>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</si>
  <si>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</si>
  <si>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</si>
  <si>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</si>
  <si>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</si>
  <si>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</si>
  <si>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</si>
  <si>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</si>
  <si>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</si>
  <si>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</si>
  <si>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</si>
  <si>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</si>
  <si>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</si>
  <si>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</si>
  <si>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</si>
  <si>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</si>
  <si>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</si>
  <si>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</si>
  <si>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</si>
  <si>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</si>
  <si>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</si>
  <si>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</si>
  <si>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</si>
  <si>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</si>
  <si>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</si>
  <si>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</si>
  <si>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</si>
  <si>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</si>
  <si>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</si>
  <si>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</si>
  <si>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</si>
  <si>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</si>
  <si>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</si>
  <si>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</si>
  <si>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</si>
  <si>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</si>
  <si>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</si>
  <si>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</si>
  <si>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</si>
  <si>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</si>
  <si>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</si>
  <si>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</si>
  <si>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</si>
  <si>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</si>
  <si>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</si>
  <si>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</si>
  <si>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</si>
  <si>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</si>
  <si>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</si>
  <si>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</si>
  <si>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</si>
  <si>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</si>
  <si>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</si>
  <si>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増築</t>
  </si>
  <si>
    <t>改築</t>
  </si>
  <si>
    <t>移転</t>
  </si>
  <si>
    <t>年</t>
  </si>
  <si>
    <t>印</t>
  </si>
  <si>
    <t>日</t>
  </si>
  <si>
    <t>第</t>
  </si>
  <si>
    <t>号</t>
  </si>
  <si>
    <t>　</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</si>
  <si>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</si>
  <si>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</si>
  <si>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</si>
  <si>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</si>
  <si>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</si>
  <si>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</si>
  <si>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</si>
  <si>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</si>
  <si>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</si>
  <si>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</si>
  <si>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</si>
  <si>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</si>
  <si>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</si>
  <si>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</si>
  <si>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</si>
  <si>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シート名
※重複不可</t>
  </si>
  <si>
    <t>※最後にNoObjectを記述</t>
  </si>
  <si>
    <t>備考</t>
  </si>
  <si>
    <t>showsheetflag_****
  1=表示
  0=削除
 -1=非表示
 -2=シート非表示（再表示不可）</t>
  </si>
  <si>
    <t>dSHEET</t>
  </si>
  <si>
    <t>DATA</t>
  </si>
  <si>
    <t>項目リスト</t>
  </si>
  <si>
    <t>NoObject</t>
  </si>
  <si>
    <t>※このシートをアクティブにして保存すること</t>
  </si>
  <si>
    <t>（</t>
  </si>
  <si>
    <t>申請者名</t>
  </si>
  <si>
    <t>申請者</t>
  </si>
  <si>
    <t>cst_wskakunin_APPLICANT_NAME</t>
  </si>
  <si>
    <t>直前の確認申請情報</t>
  </si>
  <si>
    <t>確認済証交付者</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</si>
  <si>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</si>
  <si>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</si>
  <si>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</si>
  <si>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</si>
  <si>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</si>
  <si>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</si>
  <si>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</si>
  <si>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</si>
  <si>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</si>
  <si>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不適</t>
  </si>
  <si>
    <t>※</t>
  </si>
  <si>
    <t>ルート１</t>
  </si>
  <si>
    <t>（第三面）</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</si>
  <si>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</si>
  <si>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</si>
  <si>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</si>
  <si>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</si>
  <si>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</si>
  <si>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</si>
  <si>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</si>
  <si>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</si>
  <si>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</si>
  <si>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</si>
  <si>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</si>
  <si>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</si>
  <si>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</si>
  <si>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</si>
  <si>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</si>
  <si>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</si>
  <si>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</si>
  <si>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</si>
  <si>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</si>
  <si>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</si>
  <si>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</si>
  <si>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</si>
  <si>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</si>
  <si>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</si>
  <si>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</si>
  <si>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</si>
  <si>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</si>
  <si>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</si>
  <si>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</si>
  <si>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</si>
  <si>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</si>
  <si>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</si>
  <si>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</si>
  <si>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</si>
  <si>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</si>
  <si>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</si>
  <si>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</si>
  <si>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</si>
  <si>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</si>
  <si>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</si>
  <si>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</si>
  <si>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</si>
  <si>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</si>
  <si>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</si>
  <si>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</si>
  <si>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</si>
  <si>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</si>
  <si>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</si>
  <si>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</si>
  <si>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</si>
  <si>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</si>
  <si>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</si>
  <si>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</si>
  <si>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</si>
  <si>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</si>
  <si>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</si>
  <si>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</si>
  <si>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</si>
  <si>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</si>
  <si>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</si>
  <si>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</si>
  <si>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</si>
  <si>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</si>
  <si>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</si>
  <si>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</si>
  <si>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</si>
  <si>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</si>
  <si>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</si>
  <si>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</si>
  <si>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</si>
  <si>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</si>
  <si>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</si>
  <si>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</si>
  <si>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</si>
  <si>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</si>
  <si>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</si>
  <si>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</si>
  <si>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</si>
  <si>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</si>
  <si>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</si>
  <si>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</si>
  <si>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</si>
  <si>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</si>
  <si>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</si>
  <si>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</si>
  <si>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</si>
  <si>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</si>
  <si>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</si>
  <si>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</si>
  <si>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</si>
  <si>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</si>
  <si>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</si>
  <si>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</si>
  <si>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</si>
  <si>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</si>
  <si>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</si>
  <si>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</si>
  <si>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</si>
  <si>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</si>
  <si>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</si>
  <si>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</si>
  <si>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</si>
  <si>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</si>
  <si>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</si>
  <si>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</si>
  <si>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</si>
  <si>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</si>
  <si>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</si>
  <si>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</si>
  <si>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</si>
  <si>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</si>
  <si>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</si>
  <si>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</si>
  <si>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</si>
  <si>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</si>
  <si>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</si>
  <si>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</si>
  <si>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</si>
  <si>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</si>
  <si>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</si>
  <si>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</si>
  <si>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</si>
  <si>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</si>
  <si>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</si>
  <si>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</si>
  <si>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</si>
  <si>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</si>
  <si>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</si>
  <si>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</si>
  <si>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</si>
  <si>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</si>
  <si>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【ﾊ.郵便番号】</t>
  </si>
  <si>
    <t>建築士</t>
  </si>
  <si>
    <t>建築士事務所</t>
  </si>
  <si>
    <t>【4.建築設備の設計に関し意見を聴いた者】</t>
  </si>
  <si>
    <t>【ﾎ.電話番号】</t>
  </si>
  <si>
    <t>【ﾍ.登録番号】</t>
  </si>
  <si>
    <t>【ﾄ.意見を聴いた設計図書】</t>
  </si>
  <si>
    <t>登録第</t>
  </si>
  <si>
    <t>知事登録第</t>
  </si>
  <si>
    <t>【ﾛ.氏名】</t>
  </si>
  <si>
    <t>（その他の設計者）</t>
  </si>
  <si>
    <t>（代表となる工事監理者）</t>
  </si>
  <si>
    <t>【ｲ.地名地番】</t>
  </si>
  <si>
    <t>【ﾛ.住居表示】</t>
  </si>
  <si>
    <t>【ｲ.特定工程】</t>
  </si>
  <si>
    <t>【ｲ.変更された設計図書の種類】</t>
  </si>
  <si>
    <t>【ﾛ.変更の概要】</t>
  </si>
  <si>
    <t>照合内容</t>
  </si>
  <si>
    <t>設計図書の内容について設計者に確認した事項</t>
  </si>
  <si>
    <t>照合方法</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</si>
  <si>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</si>
  <si>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</si>
  <si>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</si>
  <si>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</si>
  <si>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</si>
  <si>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</si>
  <si>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</si>
  <si>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</si>
  <si>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</si>
  <si>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</si>
  <si>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</si>
  <si>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</si>
  <si>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</si>
  <si>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</si>
  <si>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</si>
  <si>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</si>
  <si>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</si>
  <si>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</si>
  <si>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</si>
  <si>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</si>
  <si>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</si>
  <si>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</si>
  <si>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</si>
  <si>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</si>
  <si>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</si>
  <si>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</si>
  <si>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</si>
  <si>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</si>
  <si>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</si>
  <si>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</si>
  <si>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</si>
  <si>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</si>
  <si>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</si>
  <si>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</si>
  <si>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</si>
  <si>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</si>
  <si>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</si>
  <si>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</si>
  <si>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</si>
  <si>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</si>
  <si>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</si>
  <si>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</si>
  <si>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</si>
  <si>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</si>
  <si>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</si>
  <si>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</si>
  <si>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</si>
  <si>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</si>
  <si>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</si>
  <si>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</si>
  <si>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</si>
  <si>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</si>
  <si>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</si>
  <si>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</si>
  <si>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</si>
  <si>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</si>
  <si>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</si>
  <si>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</si>
  <si>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</si>
  <si>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</si>
  <si>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</si>
  <si>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</si>
  <si>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</si>
  <si>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</si>
  <si>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</si>
  <si>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</si>
  <si>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</si>
  <si>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</si>
  <si>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</si>
  <si>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</si>
  <si>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</si>
  <si>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</si>
  <si>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</si>
  <si>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</si>
  <si>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</si>
  <si>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</si>
  <si>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</si>
  <si>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</si>
  <si>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</si>
  <si>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</si>
  <si>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</si>
  <si>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</si>
  <si>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</si>
  <si>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</si>
  <si>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</si>
  <si>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</si>
  <si>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</si>
  <si>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</si>
  <si>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</si>
  <si>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</si>
  <si>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</si>
  <si>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</si>
  <si>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</si>
  <si>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</si>
  <si>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</si>
  <si>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</si>
  <si>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</si>
  <si>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</si>
  <si>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</si>
  <si>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</si>
  <si>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</si>
  <si>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</si>
  <si>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</si>
  <si>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</si>
  <si>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</si>
  <si>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</si>
  <si>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</si>
  <si>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</si>
  <si>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</si>
  <si>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</si>
  <si>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</si>
  <si>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</si>
  <si>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</si>
  <si>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</si>
  <si>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</si>
  <si>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</si>
  <si>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</si>
  <si>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</si>
  <si>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</si>
  <si>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</si>
  <si>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</si>
  <si>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</si>
  <si>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</si>
  <si>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</si>
  <si>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</si>
  <si>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</si>
  <si>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</si>
  <si>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</si>
  <si>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</si>
  <si>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</si>
  <si>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</si>
  <si>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</si>
  <si>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</si>
  <si>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</si>
  <si>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</si>
  <si>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</si>
  <si>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</si>
  <si>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</si>
  <si>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</si>
  <si>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</si>
  <si>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</si>
  <si>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</si>
  <si>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</si>
  <si>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</si>
  <si>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</si>
  <si>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</si>
  <si>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</si>
  <si>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</si>
  <si>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</si>
  <si>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</si>
  <si>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</si>
  <si>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</si>
  <si>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</si>
  <si>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</si>
  <si>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</si>
  <si>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</si>
  <si>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</si>
  <si>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</si>
  <si>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</si>
  <si>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</si>
  <si>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</si>
  <si>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</si>
  <si>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</si>
  <si>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</si>
  <si>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</si>
  <si>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</si>
  <si>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</si>
  <si>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</si>
  <si>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</si>
  <si>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</si>
  <si>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</si>
  <si>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</si>
  <si>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</si>
  <si>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</si>
  <si>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</si>
  <si>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</si>
  <si>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</si>
  <si>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</si>
  <si>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</si>
  <si>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</si>
  <si>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</si>
  <si>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</si>
  <si>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</si>
  <si>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</si>
  <si>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</si>
  <si>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</si>
  <si>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</si>
  <si>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</si>
  <si>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</si>
  <si>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</si>
  <si>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</si>
  <si>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</si>
  <si>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</si>
  <si>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</si>
  <si>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</si>
  <si>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</si>
  <si>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</si>
  <si>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</si>
  <si>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</si>
  <si>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</si>
  <si>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</si>
  <si>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</si>
  <si>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</si>
  <si>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</si>
  <si>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</si>
  <si>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</si>
  <si>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</si>
  <si>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</si>
  <si>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</si>
  <si>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</si>
  <si>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</si>
  <si>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</si>
  <si>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</si>
  <si>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</si>
  <si>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</si>
  <si>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</si>
  <si>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</si>
  <si>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</si>
  <si>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</si>
  <si>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</si>
  <si>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</si>
  <si>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</si>
  <si>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</si>
  <si>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</si>
  <si>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</si>
  <si>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</si>
  <si>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</si>
  <si>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</si>
  <si>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</si>
  <si>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</si>
  <si>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</si>
  <si>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</si>
  <si>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</si>
  <si>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</si>
  <si>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</si>
  <si>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</si>
  <si>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</si>
  <si>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</si>
  <si>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</si>
  <si>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</si>
  <si>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</si>
  <si>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</si>
  <si>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</si>
  <si>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</si>
  <si>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</si>
  <si>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</si>
  <si>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</si>
  <si>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</si>
  <si>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</si>
  <si>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</si>
  <si>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</si>
  <si>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</si>
  <si>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</si>
  <si>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</si>
  <si>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</si>
  <si>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</si>
  <si>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</si>
  <si>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</si>
  <si>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</si>
  <si>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</si>
  <si>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</si>
  <si>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</si>
  <si>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</si>
  <si>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</si>
  <si>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</si>
  <si>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</si>
  <si>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</si>
  <si>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</si>
  <si>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</si>
  <si>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</si>
  <si>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</si>
  <si>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</si>
  <si>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</si>
  <si>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</si>
  <si>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</si>
  <si>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</si>
  <si>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</si>
  <si>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</si>
  <si>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</si>
  <si>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</si>
  <si>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</si>
  <si>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</si>
  <si>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</si>
  <si>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</si>
  <si>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</si>
  <si>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</si>
  <si>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</si>
  <si>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</si>
  <si>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</si>
  <si>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</si>
  <si>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</si>
  <si>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</si>
  <si>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</si>
  <si>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</si>
  <si>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</si>
  <si>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</si>
  <si>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</si>
  <si>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</si>
  <si>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</si>
  <si>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</si>
  <si>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</si>
  <si>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</si>
  <si>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</si>
  <si>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</si>
  <si>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</si>
  <si>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</si>
  <si>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</si>
  <si>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</si>
  <si>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</si>
  <si>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</si>
  <si>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</si>
  <si>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</si>
  <si>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</si>
  <si>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</si>
  <si>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</si>
  <si>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</si>
  <si>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</si>
  <si>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</si>
  <si>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</si>
  <si>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</si>
  <si>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</si>
  <si>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</si>
  <si>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</si>
  <si>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</si>
  <si>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</si>
  <si>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</si>
  <si>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</si>
  <si>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</si>
  <si>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</si>
  <si>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</si>
  <si>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</si>
  <si>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</si>
  <si>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</si>
  <si>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</si>
  <si>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</si>
  <si>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</si>
  <si>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</si>
  <si>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</si>
  <si>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</si>
  <si>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</si>
  <si>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</si>
  <si>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</si>
  <si>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</si>
  <si>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</si>
  <si>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</si>
  <si>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</si>
  <si>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</si>
  <si>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</si>
  <si>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</si>
  <si>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</si>
  <si>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事務所等</t>
  </si>
  <si>
    <t>cst_wskakunin_p4_1_youto1_YOUTO_1</t>
  </si>
  <si>
    <t>物品販売業を営む店舗等</t>
  </si>
  <si>
    <t>cst_wskakunin_p4_1_youto1_YOUTO_2</t>
  </si>
  <si>
    <t>工場、作業場</t>
  </si>
  <si>
    <t>cst_wskakunin_p4_1_youto1_YOUTO_3</t>
  </si>
  <si>
    <t>倉庫</t>
  </si>
  <si>
    <t>cst_wskakunin_p4_1_youto1_YOUTO_4</t>
  </si>
  <si>
    <t>学校</t>
  </si>
  <si>
    <t>cst_wskakunin_p4_1_youto1_YOUTO_5</t>
  </si>
  <si>
    <t>病院、診療所</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</si>
  <si>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</si>
  <si>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</si>
  <si>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</si>
  <si>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</si>
  <si>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</si>
  <si>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</si>
  <si>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</si>
  <si>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</si>
  <si>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</si>
  <si>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</si>
  <si>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</si>
  <si>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</si>
  <si>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</si>
  <si>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</si>
  <si>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</si>
  <si>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</si>
  <si>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</si>
  <si>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</si>
  <si>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</si>
  <si>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</si>
  <si>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</si>
  <si>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</si>
  <si>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</si>
  <si>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</si>
  <si>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</si>
  <si>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</si>
  <si>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</si>
  <si>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</si>
  <si>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</si>
  <si>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</si>
  <si>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</si>
  <si>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</si>
  <si>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</si>
  <si>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</si>
  <si>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</si>
  <si>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</si>
  <si>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</si>
  <si>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</si>
  <si>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</si>
  <si>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</si>
  <si>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</si>
  <si>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</si>
  <si>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</si>
  <si>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</si>
  <si>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</si>
  <si>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</si>
  <si>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</si>
  <si>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</si>
  <si>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</si>
  <si>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</si>
  <si>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</si>
  <si>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</si>
  <si>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</si>
  <si>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</si>
  <si>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</si>
  <si>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</si>
  <si>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</si>
  <si>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</si>
  <si>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</si>
  <si>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</si>
  <si>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</si>
  <si>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</si>
  <si>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</si>
  <si>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</si>
  <si>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</si>
  <si>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</si>
  <si>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</si>
  <si>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</si>
  <si>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</si>
  <si>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</si>
  <si>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</si>
  <si>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</si>
  <si>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</si>
  <si>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</si>
  <si>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</si>
  <si>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</si>
  <si>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</si>
  <si>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</si>
  <si>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</si>
  <si>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</si>
  <si>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</si>
  <si>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</si>
  <si>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</si>
  <si>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</si>
  <si>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</si>
  <si>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</si>
  <si>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</si>
  <si>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</si>
  <si>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</si>
  <si>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</si>
  <si>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</si>
  <si>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</si>
  <si>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</si>
  <si>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</si>
  <si>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</si>
  <si>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</si>
  <si>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</si>
  <si>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</si>
  <si>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</si>
  <si>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</si>
  <si>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</si>
  <si>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</si>
  <si>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</si>
  <si>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</si>
  <si>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</si>
  <si>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</si>
  <si>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</si>
  <si>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</si>
  <si>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</si>
  <si>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</si>
  <si>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</si>
  <si>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</si>
  <si>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</si>
  <si>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</si>
  <si>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</si>
  <si>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</si>
  <si>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</si>
  <si>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</si>
  <si>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</si>
  <si>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</si>
  <si>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</si>
  <si>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</si>
  <si>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</si>
  <si>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</si>
  <si>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</si>
  <si>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</si>
  <si>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</si>
  <si>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</si>
  <si>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</si>
  <si>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</si>
  <si>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</si>
  <si>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</si>
  <si>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</si>
  <si>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</si>
  <si>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</si>
  <si>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</si>
  <si>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</si>
  <si>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</si>
  <si>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</si>
  <si>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</si>
  <si>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</si>
  <si>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</si>
  <si>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</si>
  <si>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</si>
  <si>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</si>
  <si>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</si>
  <si>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</si>
  <si>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</si>
  <si>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</si>
  <si>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</si>
  <si>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</si>
  <si>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</si>
  <si>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</si>
  <si>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</si>
  <si>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</si>
  <si>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</si>
  <si>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</si>
  <si>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</si>
  <si>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</si>
  <si>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</si>
  <si>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</si>
  <si>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</si>
  <si>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</si>
  <si>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</si>
  <si>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</si>
  <si>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</si>
  <si>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</si>
  <si>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</si>
  <si>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</si>
  <si>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</si>
  <si>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</si>
  <si>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</si>
  <si>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</si>
  <si>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</si>
  <si>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</si>
  <si>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</si>
  <si>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</si>
  <si>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</si>
  <si>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</si>
  <si>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</si>
  <si>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</si>
  <si>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</si>
  <si>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</si>
  <si>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</si>
  <si>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</si>
  <si>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</si>
  <si>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</si>
  <si>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</si>
  <si>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</si>
  <si>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</si>
  <si>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</si>
  <si>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</si>
  <si>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</si>
  <si>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</si>
  <si>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</si>
  <si>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</si>
  <si>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</si>
  <si>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</si>
  <si>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</si>
  <si>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</si>
  <si>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</si>
  <si>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</si>
  <si>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</si>
  <si>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</si>
  <si>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</si>
  <si>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</si>
  <si>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</si>
  <si>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</si>
  <si>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</si>
  <si>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</si>
  <si>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</si>
  <si>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</si>
  <si>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</si>
  <si>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</si>
  <si>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</si>
  <si>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</si>
  <si>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</si>
  <si>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</si>
  <si>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</si>
  <si>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</si>
  <si>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</si>
  <si>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</si>
  <si>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</si>
  <si>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</si>
  <si>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</si>
  <si>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</si>
  <si>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</si>
  <si>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</si>
  <si>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</si>
  <si>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</si>
  <si>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</si>
  <si>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</si>
  <si>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</si>
  <si>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</si>
  <si>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</si>
  <si>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</si>
  <si>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</si>
  <si>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</si>
  <si>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</si>
  <si>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</si>
  <si>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</si>
  <si>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</si>
  <si>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</si>
  <si>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</si>
  <si>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</si>
  <si>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</si>
  <si>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</si>
  <si>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</si>
  <si>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</si>
  <si>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</si>
  <si>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</si>
  <si>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</si>
  <si>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</si>
  <si>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</si>
  <si>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</si>
  <si>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</si>
  <si>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</si>
  <si>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</si>
  <si>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</si>
  <si>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</si>
  <si>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</si>
  <si>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</si>
  <si>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</si>
  <si>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</si>
  <si>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</si>
  <si>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</si>
  <si>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</si>
  <si>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</si>
  <si>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</si>
  <si>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</si>
  <si>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</si>
  <si>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</si>
  <si>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</si>
  <si>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</si>
  <si>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</si>
  <si>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</si>
  <si>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</si>
  <si>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</si>
  <si>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</si>
  <si>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</si>
  <si>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</si>
  <si>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</si>
  <si>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</si>
  <si>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</si>
  <si>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</si>
  <si>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</si>
  <si>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</si>
  <si>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</si>
  <si>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</si>
  <si>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</si>
  <si>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</si>
  <si>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</si>
  <si>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</si>
  <si>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</si>
  <si>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</si>
  <si>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</si>
  <si>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</si>
  <si>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</si>
  <si>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</si>
  <si>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</si>
  <si>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</si>
  <si>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</si>
  <si>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</si>
  <si>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</si>
  <si>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</si>
  <si>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</si>
  <si>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</si>
  <si>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</si>
  <si>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</si>
  <si>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</si>
  <si>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</si>
  <si>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</si>
  <si>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</si>
  <si>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</si>
  <si>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</si>
  <si>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交付日</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</si>
  <si>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</si>
  <si>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</si>
  <si>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</si>
  <si>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</si>
  <si>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</si>
  <si>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</si>
  <si>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</si>
  <si>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</si>
  <si>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</si>
  <si>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</si>
  <si>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</si>
  <si>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</si>
  <si>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</si>
  <si>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</si>
  <si>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</si>
  <si>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</si>
  <si>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</si>
  <si>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</si>
  <si>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</si>
  <si>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</si>
  <si>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</si>
  <si>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</si>
  <si>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</si>
  <si>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</si>
  <si>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</si>
  <si>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</si>
  <si>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</si>
  <si>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</si>
  <si>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</si>
  <si>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</si>
  <si>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</si>
  <si>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</si>
  <si>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</si>
  <si>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</si>
  <si>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</si>
  <si>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</si>
  <si>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</si>
  <si>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</si>
  <si>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</si>
  <si>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</si>
  <si>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</si>
  <si>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</si>
  <si>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</si>
  <si>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</si>
  <si>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</si>
  <si>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</si>
  <si>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</si>
  <si>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</si>
  <si>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</si>
  <si>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</si>
  <si>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</si>
  <si>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</si>
  <si>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</si>
  <si>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</si>
  <si>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</si>
  <si>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</si>
  <si>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</si>
  <si>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</si>
  <si>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</si>
  <si>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</si>
  <si>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</si>
  <si>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</si>
  <si>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</si>
  <si>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</si>
  <si>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</si>
  <si>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</si>
  <si>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</si>
  <si>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</si>
  <si>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</si>
  <si>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</si>
  <si>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</si>
  <si>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</si>
  <si>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</si>
  <si>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</si>
  <si>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</si>
  <si>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</si>
  <si>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</si>
  <si>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</si>
  <si>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</si>
  <si>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</si>
  <si>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</si>
  <si>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</si>
  <si>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</si>
  <si>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</si>
  <si>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</si>
  <si>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</si>
  <si>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</si>
  <si>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</si>
  <si>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</si>
  <si>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</si>
  <si>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</si>
  <si>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</si>
  <si>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</si>
  <si>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</si>
  <si>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</si>
  <si>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</si>
  <si>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</si>
  <si>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</si>
  <si>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</si>
  <si>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</si>
  <si>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</si>
  <si>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</si>
  <si>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</si>
  <si>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</si>
  <si>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</si>
  <si>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</si>
  <si>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</si>
  <si>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</si>
  <si>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</si>
  <si>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</si>
  <si>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</si>
  <si>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</si>
  <si>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</si>
  <si>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</si>
  <si>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</si>
  <si>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</si>
  <si>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</si>
  <si>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</si>
  <si>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</si>
  <si>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</si>
  <si>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</si>
  <si>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</si>
  <si>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</si>
  <si>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</si>
  <si>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</si>
  <si>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</si>
  <si>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</si>
  <si>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</si>
  <si>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</si>
  <si>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</si>
  <si>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</si>
  <si>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</si>
  <si>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</si>
  <si>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</si>
  <si>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</si>
  <si>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</si>
  <si>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</si>
  <si>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</si>
  <si>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</si>
  <si>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</si>
  <si>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</si>
  <si>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</si>
  <si>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</si>
  <si>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</si>
  <si>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</si>
  <si>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</si>
  <si>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</si>
  <si>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</si>
  <si>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</si>
  <si>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</si>
  <si>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</si>
  <si>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</si>
  <si>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</si>
  <si>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</si>
  <si>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</si>
  <si>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</si>
  <si>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</si>
  <si>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</si>
  <si>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</si>
  <si>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</si>
  <si>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</si>
  <si>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</si>
  <si>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</si>
  <si>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</si>
  <si>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</si>
  <si>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</si>
  <si>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</si>
  <si>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</si>
  <si>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</si>
  <si>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</si>
  <si>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</si>
  <si>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</si>
  <si>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</si>
  <si>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</si>
  <si>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cst_wskakunin_owner2_JIMU_NAME</t>
  </si>
  <si>
    <t>**wskakunin_owner2_JIMU_NAME_KANA</t>
  </si>
  <si>
    <t>cst_wskakunin_owner2_JIMU_NAME_KANA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</si>
  <si>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</si>
  <si>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</si>
  <si>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</si>
  <si>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</si>
  <si>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</si>
  <si>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</si>
  <si>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</si>
  <si>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</si>
  <si>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</si>
  <si>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</si>
  <si>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</si>
  <si>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cst_wskakunin_owner2__address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</si>
  <si>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</si>
  <si>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</si>
  <si>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</si>
  <si>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</si>
  <si>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</si>
  <si>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</si>
  <si>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</si>
  <si>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</si>
  <si>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</si>
  <si>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</si>
  <si>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</si>
  <si>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</si>
  <si>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</si>
  <si>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</si>
  <si>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</si>
  <si>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</si>
  <si>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</si>
  <si>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</si>
  <si>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</si>
  <si>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</si>
  <si>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</si>
  <si>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</si>
  <si>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</si>
  <si>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</si>
  <si>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</si>
  <si>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</si>
  <si>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</si>
  <si>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</si>
  <si>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</si>
  <si>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</si>
  <si>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</si>
  <si>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</si>
  <si>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</si>
  <si>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</si>
  <si>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</si>
  <si>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</si>
  <si>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</si>
  <si>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</si>
  <si>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</si>
  <si>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</si>
  <si>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</si>
  <si>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</si>
  <si>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</si>
  <si>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</si>
  <si>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</si>
  <si>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</si>
  <si>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</si>
  <si>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</si>
  <si>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</si>
  <si>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</si>
  <si>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</si>
  <si>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</si>
  <si>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</si>
  <si>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</si>
  <si>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</si>
  <si>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</si>
  <si>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</si>
  <si>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</si>
  <si>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</si>
  <si>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</si>
  <si>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</si>
  <si>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</si>
  <si>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</si>
  <si>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</si>
  <si>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</si>
  <si>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</si>
  <si>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</si>
  <si>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</si>
  <si>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</si>
  <si>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</si>
  <si>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</si>
  <si>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</si>
  <si>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</si>
  <si>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</si>
  <si>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</si>
  <si>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</si>
  <si>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</si>
  <si>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</si>
  <si>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</si>
  <si>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</si>
  <si>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</si>
  <si>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</si>
  <si>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</si>
  <si>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</si>
  <si>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</si>
  <si>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</si>
  <si>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</si>
  <si>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</si>
  <si>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</si>
  <si>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</si>
  <si>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</si>
  <si>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</si>
  <si>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</si>
  <si>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</si>
  <si>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</si>
  <si>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</si>
  <si>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</si>
  <si>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</si>
  <si>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</si>
  <si>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</si>
  <si>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</si>
  <si>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</si>
  <si>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</si>
  <si>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</si>
  <si>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</si>
  <si>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</si>
  <si>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</si>
  <si>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</si>
  <si>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</si>
  <si>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</si>
  <si>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</si>
  <si>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</si>
  <si>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</si>
  <si>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</si>
  <si>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</si>
  <si>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</si>
  <si>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</si>
  <si>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</si>
  <si>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</si>
  <si>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</si>
  <si>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</si>
  <si>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</si>
  <si>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</si>
  <si>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</si>
  <si>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</si>
  <si>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</si>
  <si>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</si>
  <si>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</si>
  <si>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</si>
  <si>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</si>
  <si>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</si>
  <si>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</si>
  <si>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</si>
  <si>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</si>
  <si>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</si>
  <si>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</si>
  <si>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</si>
  <si>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</si>
  <si>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</si>
  <si>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</si>
  <si>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</si>
  <si>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</si>
  <si>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</si>
  <si>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</si>
  <si>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</si>
  <si>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</si>
  <si>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</si>
  <si>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</si>
  <si>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</si>
  <si>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</si>
  <si>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</si>
  <si>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</si>
  <si>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</si>
  <si>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</si>
  <si>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</si>
  <si>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</si>
  <si>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</si>
  <si>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</si>
  <si>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</si>
  <si>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</si>
  <si>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</si>
  <si>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</si>
  <si>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</si>
  <si>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</si>
  <si>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</si>
  <si>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</si>
  <si>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</si>
  <si>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</si>
  <si>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</si>
  <si>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</si>
  <si>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</si>
  <si>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</si>
  <si>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</si>
  <si>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</si>
  <si>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</si>
  <si>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</si>
  <si>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</si>
  <si>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</si>
  <si>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</si>
  <si>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</si>
  <si>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</si>
  <si>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</si>
  <si>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</si>
  <si>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</si>
  <si>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</si>
  <si>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</si>
  <si>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</si>
  <si>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</si>
  <si>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</si>
  <si>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</si>
  <si>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</si>
  <si>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</si>
  <si>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</si>
  <si>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</si>
  <si>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</si>
  <si>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</si>
  <si>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</si>
  <si>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</si>
  <si>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</si>
  <si>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</si>
  <si>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</si>
  <si>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</si>
  <si>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</si>
  <si>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</si>
  <si>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</si>
  <si>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</si>
  <si>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</si>
  <si>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</si>
  <si>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</si>
  <si>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</si>
  <si>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</si>
  <si>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</si>
  <si>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</si>
  <si>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</si>
  <si>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</si>
  <si>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</si>
  <si>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</si>
  <si>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</si>
  <si>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</si>
  <si>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</si>
  <si>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</si>
  <si>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</si>
  <si>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</si>
  <si>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</si>
  <si>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</si>
  <si>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</si>
  <si>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</si>
  <si>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</si>
  <si>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</si>
  <si>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</si>
  <si>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</si>
  <si>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</si>
  <si>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</si>
  <si>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</si>
  <si>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</si>
  <si>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</si>
  <si>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</si>
  <si>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</si>
  <si>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</si>
  <si>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</si>
  <si>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</si>
  <si>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</si>
  <si>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</si>
  <si>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</si>
  <si>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</si>
  <si>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</si>
  <si>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</si>
  <si>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</si>
  <si>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</si>
  <si>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</si>
  <si>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</si>
  <si>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</si>
  <si>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</si>
  <si>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</si>
  <si>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</si>
  <si>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</si>
  <si>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</si>
  <si>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</si>
  <si>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</si>
  <si>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</si>
  <si>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</si>
  <si>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</si>
  <si>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</si>
  <si>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</si>
  <si>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</si>
  <si>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</si>
  <si>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</si>
  <si>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</si>
  <si>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</si>
  <si>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</si>
  <si>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</si>
  <si>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</si>
  <si>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</si>
  <si>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</si>
  <si>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</si>
  <si>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</si>
  <si>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</si>
  <si>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</si>
  <si>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</si>
  <si>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</si>
  <si>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</si>
  <si>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</si>
  <si>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</si>
  <si>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</si>
  <si>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</si>
  <si>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</si>
  <si>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</si>
  <si>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</si>
  <si>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</si>
  <si>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</si>
  <si>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</si>
  <si>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</si>
  <si>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</si>
  <si>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</si>
  <si>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</si>
  <si>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</si>
  <si>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</si>
  <si>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</si>
  <si>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</si>
  <si>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</si>
  <si>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</si>
  <si>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</si>
  <si>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</si>
  <si>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</si>
  <si>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</si>
  <si>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</si>
  <si>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</si>
  <si>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</si>
  <si>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</si>
  <si>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</si>
  <si>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</si>
  <si>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</si>
  <si>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</si>
  <si>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</si>
  <si>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</si>
  <si>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</si>
  <si>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</si>
  <si>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</si>
  <si>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</si>
  <si>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</si>
  <si>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</si>
  <si>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</si>
  <si>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</si>
  <si>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</si>
  <si>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</si>
  <si>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</si>
  <si>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</si>
  <si>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</si>
  <si>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</si>
  <si>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</si>
  <si>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</si>
  <si>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</si>
  <si>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</si>
  <si>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</si>
  <si>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</si>
  <si>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</si>
  <si>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</si>
  <si>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</si>
  <si>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</si>
  <si>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</si>
  <si>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</si>
  <si>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</si>
  <si>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</si>
  <si>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</si>
  <si>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</si>
  <si>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</si>
  <si>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</si>
  <si>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</si>
  <si>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</si>
  <si>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</si>
  <si>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</si>
  <si>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</si>
  <si>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</si>
  <si>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</si>
  <si>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</si>
  <si>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</si>
  <si>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</si>
  <si>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</si>
  <si>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</si>
  <si>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</si>
  <si>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</si>
  <si>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</si>
  <si>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</si>
  <si>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</si>
  <si>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</si>
  <si>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</si>
  <si>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</si>
  <si>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</si>
  <si>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</si>
  <si>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</si>
  <si>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</si>
  <si>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</si>
  <si>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</si>
  <si>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</si>
  <si>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</si>
  <si>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</si>
  <si>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</si>
  <si>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</si>
  <si>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</si>
  <si>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</si>
  <si>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</si>
  <si>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</si>
  <si>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</si>
  <si>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</si>
  <si>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</si>
  <si>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</si>
  <si>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</si>
  <si>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</si>
  <si>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</si>
  <si>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</si>
  <si>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</si>
  <si>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</si>
  <si>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</si>
  <si>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</si>
  <si>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</si>
  <si>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</si>
  <si>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</si>
  <si>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</si>
  <si>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</si>
  <si>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</si>
  <si>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</si>
  <si>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</si>
  <si>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</si>
  <si>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</si>
  <si>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</si>
  <si>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</si>
  <si>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</si>
  <si>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</si>
  <si>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</si>
  <si>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</si>
  <si>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</si>
  <si>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</si>
  <si>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</si>
  <si>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</si>
  <si>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</si>
  <si>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</si>
  <si>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</si>
  <si>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</si>
  <si>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</si>
  <si>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</si>
  <si>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</si>
  <si>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</si>
  <si>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</si>
  <si>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</si>
  <si>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</si>
  <si>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</si>
  <si>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</si>
  <si>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</si>
  <si>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</si>
  <si>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</si>
  <si>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</si>
  <si>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</si>
  <si>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</si>
  <si>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</si>
  <si>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</si>
  <si>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</si>
  <si>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</si>
  <si>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</si>
  <si>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</si>
  <si>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</si>
  <si>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</si>
  <si>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</si>
  <si>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</si>
  <si>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</si>
  <si>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</si>
  <si>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</si>
  <si>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</si>
  <si>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</si>
  <si>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</si>
  <si>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</si>
  <si>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</si>
  <si>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</si>
  <si>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</si>
  <si>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</si>
  <si>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</si>
  <si>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</si>
  <si>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</si>
  <si>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</si>
  <si>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</si>
  <si>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</si>
  <si>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</si>
  <si>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</si>
  <si>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</si>
  <si>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</si>
  <si>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</si>
  <si>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</si>
  <si>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（その他の工事監理者）</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</si>
  <si>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</si>
  <si>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</si>
  <si>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</si>
  <si>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</si>
  <si>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</si>
  <si>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</si>
  <si>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</si>
  <si>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</si>
  <si>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</si>
  <si>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</si>
  <si>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</si>
  <si>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</si>
  <si>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</si>
  <si>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</si>
  <si>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</si>
  <si>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</si>
  <si>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</si>
  <si>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</si>
  <si>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</si>
  <si>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</si>
  <si>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</si>
  <si>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</si>
  <si>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</si>
  <si>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</si>
  <si>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</si>
  <si>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</si>
  <si>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</si>
  <si>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</si>
  <si>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</si>
  <si>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</si>
  <si>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</si>
  <si>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</si>
  <si>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</si>
  <si>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</si>
  <si>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</si>
  <si>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</si>
  <si>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</si>
  <si>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</si>
  <si>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</si>
  <si>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</si>
  <si>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</si>
  <si>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</si>
  <si>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</si>
  <si>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</si>
  <si>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</si>
  <si>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</si>
  <si>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</si>
  <si>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</si>
  <si>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</si>
  <si>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</si>
  <si>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</si>
  <si>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</si>
  <si>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</si>
  <si>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</si>
  <si>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</si>
  <si>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</si>
  <si>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</si>
  <si>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</si>
  <si>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</si>
  <si>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</si>
  <si>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</si>
  <si>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</si>
  <si>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</si>
  <si>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</si>
  <si>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</si>
  <si>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</si>
  <si>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</si>
  <si>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</si>
  <si>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</si>
  <si>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</si>
  <si>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</si>
  <si>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</si>
  <si>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</si>
  <si>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</si>
  <si>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</si>
  <si>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</si>
  <si>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</si>
  <si>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</si>
  <si>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</si>
  <si>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</si>
  <si>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</si>
  <si>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</si>
  <si>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</si>
  <si>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</si>
  <si>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</si>
  <si>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</si>
  <si>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</si>
  <si>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</si>
  <si>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</si>
  <si>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</si>
  <si>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</si>
  <si>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</si>
  <si>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</si>
  <si>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</si>
  <si>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</si>
  <si>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</si>
  <si>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</si>
  <si>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</si>
  <si>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</si>
  <si>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</si>
  <si>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</si>
  <si>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</si>
  <si>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</si>
  <si>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</si>
  <si>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</si>
  <si>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</si>
  <si>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</si>
  <si>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</si>
  <si>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</si>
  <si>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</si>
  <si>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</si>
  <si>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</si>
  <si>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</si>
  <si>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</si>
  <si>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</si>
  <si>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</si>
  <si>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</si>
  <si>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</si>
  <si>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</si>
  <si>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</si>
  <si>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</si>
  <si>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</si>
  <si>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</si>
  <si>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</si>
  <si>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</si>
  <si>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</si>
  <si>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</si>
  <si>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</si>
  <si>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</si>
  <si>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</si>
  <si>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</si>
  <si>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</si>
  <si>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</si>
  <si>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</si>
  <si>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</si>
  <si>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</si>
  <si>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</si>
  <si>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</si>
  <si>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</si>
  <si>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</si>
  <si>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</si>
  <si>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</si>
  <si>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</si>
  <si>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</si>
  <si>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</si>
  <si>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</si>
  <si>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</si>
  <si>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</si>
  <si>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</si>
  <si>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</si>
  <si>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</si>
  <si>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</si>
  <si>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</si>
  <si>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</si>
  <si>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</si>
  <si>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</si>
  <si>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</si>
  <si>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</si>
  <si>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</si>
  <si>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</si>
  <si>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</si>
  <si>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</si>
  <si>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</si>
  <si>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</si>
  <si>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</si>
  <si>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</si>
  <si>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</si>
  <si>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</si>
  <si>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</si>
  <si>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</si>
  <si>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</si>
  <si>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</si>
  <si>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</si>
  <si>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</si>
  <si>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</si>
  <si>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</si>
  <si>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</si>
  <si>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</si>
  <si>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</si>
  <si>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</si>
  <si>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</si>
  <si>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</si>
  <si>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</si>
  <si>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</si>
  <si>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</si>
  <si>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</si>
  <si>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</si>
  <si>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</si>
  <si>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</si>
  <si>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</si>
  <si>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</si>
  <si>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</si>
  <si>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</si>
  <si>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</si>
  <si>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</si>
  <si>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</si>
  <si>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</si>
  <si>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</si>
  <si>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</si>
  <si>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</si>
  <si>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</si>
  <si>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</si>
  <si>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</si>
  <si>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</si>
  <si>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</si>
  <si>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</si>
  <si>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</si>
  <si>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</si>
  <si>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</si>
  <si>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</si>
  <si>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</si>
  <si>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</si>
  <si>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</si>
  <si>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</si>
  <si>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</si>
  <si>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</si>
  <si>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</si>
  <si>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</si>
  <si>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</si>
  <si>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</si>
  <si>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</si>
  <si>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</si>
  <si>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</si>
  <si>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</si>
  <si>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</si>
  <si>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</si>
  <si>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</si>
  <si>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</si>
  <si>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</si>
  <si>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</si>
  <si>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</si>
  <si>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</si>
  <si>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</si>
  <si>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</si>
  <si>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</si>
  <si>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</si>
  <si>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</si>
  <si>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</si>
  <si>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</si>
  <si>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</si>
  <si>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</si>
  <si>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</si>
  <si>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</si>
  <si>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</si>
  <si>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</si>
  <si>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</si>
  <si>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</si>
  <si>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</si>
  <si>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</si>
  <si>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</si>
  <si>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</si>
  <si>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</si>
  <si>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</si>
  <si>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</si>
  <si>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</si>
  <si>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</si>
  <si>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</si>
  <si>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</si>
  <si>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</si>
  <si>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</si>
  <si>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</si>
  <si>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</si>
  <si>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</si>
  <si>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</si>
  <si>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</si>
  <si>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</si>
  <si>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</si>
  <si>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</si>
  <si>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</si>
  <si>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</si>
  <si>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</si>
  <si>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</si>
  <si>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</si>
  <si>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</si>
  <si>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</si>
  <si>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</si>
  <si>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</si>
  <si>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</si>
  <si>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</si>
  <si>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</si>
  <si>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</si>
  <si>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</si>
  <si>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</si>
  <si>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</si>
  <si>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</si>
  <si>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</si>
  <si>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</si>
  <si>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</si>
  <si>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</si>
  <si>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</si>
  <si>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</si>
  <si>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</si>
  <si>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</si>
  <si>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</si>
  <si>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</si>
  <si>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</si>
  <si>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</si>
  <si>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</si>
  <si>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</si>
  <si>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</si>
  <si>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</si>
  <si>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</si>
  <si>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</si>
  <si>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</si>
  <si>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</si>
  <si>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</si>
  <si>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</si>
  <si>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</si>
  <si>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</si>
  <si>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</si>
  <si>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</si>
  <si>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</si>
  <si>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</si>
  <si>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</si>
  <si>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</si>
  <si>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</si>
  <si>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</si>
  <si>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</si>
  <si>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</si>
  <si>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</si>
  <si>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</si>
  <si>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</si>
  <si>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</si>
  <si>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</si>
  <si>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</si>
  <si>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</si>
  <si>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</si>
  <si>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</si>
  <si>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</si>
  <si>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</si>
  <si>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</si>
  <si>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</si>
  <si>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</si>
  <si>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</si>
  <si>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</si>
  <si>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</si>
  <si>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</si>
  <si>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</si>
  <si>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</si>
  <si>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</si>
  <si>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</si>
  <si>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</si>
  <si>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</si>
  <si>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</si>
  <si>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</si>
  <si>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</si>
  <si>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</si>
  <si>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</si>
  <si>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</si>
  <si>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</si>
  <si>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</si>
  <si>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</si>
  <si>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</si>
  <si>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</si>
  <si>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</si>
  <si>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</si>
  <si>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</si>
  <si>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</si>
  <si>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</si>
  <si>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</si>
  <si>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</si>
  <si>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</si>
  <si>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</si>
  <si>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</si>
  <si>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</si>
  <si>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</si>
  <si>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</si>
  <si>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</si>
  <si>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</si>
  <si>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</si>
  <si>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</si>
  <si>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</si>
  <si>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</si>
  <si>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</si>
  <si>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</si>
  <si>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</si>
  <si>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</si>
  <si>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</si>
  <si>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</si>
  <si>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</si>
  <si>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</si>
  <si>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</si>
  <si>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</si>
  <si>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</si>
  <si>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</si>
  <si>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</si>
  <si>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</si>
  <si>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</si>
  <si>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</si>
  <si>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</si>
  <si>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</si>
  <si>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</si>
  <si>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</si>
  <si>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</si>
  <si>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</si>
  <si>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</si>
  <si>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</si>
  <si>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</si>
  <si>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</si>
  <si>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</si>
  <si>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</si>
  <si>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</si>
  <si>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</si>
  <si>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</si>
  <si>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</si>
  <si>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</si>
  <si>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</si>
  <si>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</si>
  <si>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</si>
  <si>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</si>
  <si>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</si>
  <si>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</si>
  <si>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</si>
  <si>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</si>
  <si>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</si>
  <si>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</si>
  <si>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</si>
  <si>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</si>
  <si>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</si>
  <si>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</si>
  <si>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</si>
  <si>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</si>
  <si>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</si>
  <si>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</si>
  <si>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</si>
  <si>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</si>
  <si>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</si>
  <si>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</si>
  <si>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</si>
  <si>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</si>
  <si>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</si>
  <si>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</si>
  <si>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</si>
  <si>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</si>
  <si>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</si>
  <si>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</si>
  <si>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</si>
  <si>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</si>
  <si>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</si>
  <si>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</si>
  <si>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</si>
  <si>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</si>
  <si>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</si>
  <si>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</si>
  <si>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</si>
  <si>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</si>
  <si>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</si>
  <si>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</si>
  <si>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</si>
  <si>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</si>
  <si>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</si>
  <si>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</si>
  <si>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</si>
  <si>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</si>
  <si>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</si>
  <si>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</si>
  <si>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</si>
  <si>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</si>
  <si>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</si>
  <si>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</si>
  <si>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</si>
  <si>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</si>
  <si>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</si>
  <si>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</si>
  <si>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</si>
  <si>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</si>
  <si>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</si>
  <si>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</si>
  <si>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</si>
  <si>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</si>
  <si>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</si>
  <si>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</si>
  <si>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</si>
  <si>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</si>
  <si>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</si>
  <si>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</si>
  <si>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</si>
  <si>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</si>
  <si>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</si>
  <si>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</si>
  <si>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</si>
  <si>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</si>
  <si>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</si>
  <si>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</si>
  <si>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</si>
  <si>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</si>
  <si>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</si>
  <si>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</si>
  <si>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</si>
  <si>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</si>
  <si>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</si>
  <si>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</si>
  <si>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</si>
  <si>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</si>
  <si>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</si>
  <si>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</si>
  <si>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</si>
  <si>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</si>
  <si>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</si>
  <si>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</si>
  <si>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</si>
  <si>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</si>
  <si>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</si>
  <si>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</si>
  <si>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</si>
  <si>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</si>
  <si>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</si>
  <si>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</si>
  <si>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</si>
  <si>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</si>
  <si>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</si>
  <si>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</si>
  <si>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</si>
  <si>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</si>
  <si>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</si>
  <si>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</si>
  <si>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cst_wskakunin_KOUZOU_mokuzou</t>
  </si>
  <si>
    <t>cst_wskakunin_KOUZOU_zairai</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</si>
  <si>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</si>
  <si>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</si>
  <si>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</si>
  <si>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</si>
  <si>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</si>
  <si>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</si>
  <si>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</si>
  <si>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t>
  </si>
  <si>
    <t>日付</t>
  </si>
  <si>
    <t>変更内容</t>
  </si>
  <si>
    <t>三木香澄</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</si>
  <si>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</si>
  <si>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</si>
  <si>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</si>
  <si>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</si>
  <si>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</si>
  <si>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</si>
  <si>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</si>
  <si>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</si>
  <si>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</si>
  <si>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</si>
  <si>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</si>
  <si>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</si>
  <si>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</si>
  <si>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</si>
  <si>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</si>
  <si>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</si>
  <si>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</si>
  <si>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</si>
  <si>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</si>
  <si>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</si>
  <si>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</si>
  <si>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</si>
  <si>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</si>
  <si>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</si>
  <si>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</si>
  <si>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</si>
  <si>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</si>
  <si>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</si>
  <si>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</si>
  <si>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</si>
  <si>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</si>
  <si>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</si>
  <si>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</si>
  <si>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</si>
  <si>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</si>
  <si>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</si>
  <si>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</si>
  <si>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</si>
  <si>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</si>
  <si>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</si>
  <si>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</si>
  <si>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</si>
  <si>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</si>
  <si>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</si>
  <si>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</si>
  <si>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</si>
  <si>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</si>
  <si>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</si>
  <si>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</si>
  <si>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</si>
  <si>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</si>
  <si>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</si>
  <si>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</si>
  <si>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</si>
  <si>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</si>
  <si>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</si>
  <si>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</si>
  <si>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</si>
  <si>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</si>
  <si>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</si>
  <si>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</si>
  <si>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</si>
  <si>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</si>
  <si>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</si>
  <si>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</si>
  <si>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</si>
  <si>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</si>
  <si>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</si>
  <si>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</si>
  <si>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</si>
  <si>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</si>
  <si>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</si>
  <si>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</si>
  <si>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</si>
  <si>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</si>
  <si>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</si>
  <si>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**wskakunin_p4_1_YUKA_MENSEKI_SHINSEI</t>
  </si>
  <si>
    <t>cst_wskakunin_p4_1_YUKA_MENSEKI_SHINSEI</t>
  </si>
  <si>
    <t>**wskakunin_p4_2_KAISU_TIKAI_NOZOKU</t>
  </si>
  <si>
    <t>**wskakunin_p4_3_KAISU_TIKAI</t>
  </si>
  <si>
    <t>**wskakunin_p4_2_KAISU_TIKAI</t>
  </si>
  <si>
    <t>**wskakunin_p4_2_YUKA_MENSEKI_SHINSEI</t>
  </si>
  <si>
    <t>**wskakunin_p4_3_KAISU_TIKAI_NOZOKU</t>
  </si>
  <si>
    <t>**wskakunin_p4_3_YUKA_MENSEKI_SHINSEI</t>
  </si>
  <si>
    <t>cst_wskakunin_p4_2_KAISU_TIKAI_NOZOKU</t>
  </si>
  <si>
    <t>cst_wskakunin_p4_2_KAISU_TIKAI</t>
  </si>
  <si>
    <t>cst_wskakunin_p4_2_YUKA_MENSEKI_SHINSEI</t>
  </si>
  <si>
    <t>cst_wskakunin_p4_3_KAISU_TIKAI_NOZOKU</t>
  </si>
  <si>
    <t>cst_wskakunin_p4_3_KAISU_TIKAI</t>
  </si>
  <si>
    <t>cst_wskakunin_p4_3_YUKA_MENSEKI_SHINSEI</t>
  </si>
  <si>
    <t>**shinsei_ISSUE_KOUFU_NAME</t>
  </si>
  <si>
    <t>cst_shinsei_ISSUE_KOUFU_NAME</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</si>
  <si>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</si>
  <si>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</si>
  <si>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</si>
  <si>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</si>
  <si>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</si>
  <si>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</si>
  <si>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</si>
  <si>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</si>
  <si>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</si>
  <si>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</si>
  <si>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</si>
  <si>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</si>
  <si>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</si>
  <si>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</si>
  <si>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</si>
  <si>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</si>
  <si>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</si>
  <si>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</si>
  <si>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</si>
  <si>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</si>
  <si>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</si>
  <si>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</si>
  <si>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</si>
  <si>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</si>
  <si>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</si>
  <si>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</si>
  <si>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</si>
  <si>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</si>
  <si>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</si>
  <si>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</si>
  <si>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</si>
  <si>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</si>
  <si>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</si>
  <si>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</si>
  <si>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</si>
  <si>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</si>
  <si>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</si>
  <si>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</si>
  <si>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</si>
  <si>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</si>
  <si>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</si>
  <si>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</si>
  <si>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</si>
  <si>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</si>
  <si>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</si>
  <si>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</si>
  <si>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</si>
  <si>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</si>
  <si>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入力チェック</t>
  </si>
  <si>
    <t>cst_wskakunin_sekou1_kakunin</t>
  </si>
  <si>
    <t>：未入力1,入力済み2</t>
  </si>
  <si>
    <t>cst_ISSUE_DATE_select</t>
  </si>
  <si>
    <t>cst_wskakunin_KOUZOU</t>
  </si>
  <si>
    <t>cst_wsjob_KENTIKUBUTU_box</t>
  </si>
  <si>
    <t>cst_wsjob_SYOUKOUKI_box</t>
  </si>
  <si>
    <t>工作物</t>
  </si>
  <si>
    <t>cst_wsjob_KOUSAKUBUTU_box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</si>
  <si>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</si>
  <si>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</si>
  <si>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</si>
  <si>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</si>
  <si>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</si>
  <si>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</si>
  <si>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</si>
  <si>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</si>
  <si>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</si>
  <si>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</si>
  <si>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</si>
  <si>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</si>
  <si>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</si>
  <si>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</si>
  <si>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</si>
  <si>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</si>
  <si>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</si>
  <si>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</si>
  <si>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</si>
  <si>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</si>
  <si>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</si>
  <si>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</si>
  <si>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</si>
  <si>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</si>
  <si>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</si>
  <si>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</si>
  <si>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</si>
  <si>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</si>
  <si>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</si>
  <si>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</si>
  <si>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</si>
  <si>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</si>
  <si>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</si>
  <si>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</si>
  <si>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</si>
  <si>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</si>
  <si>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</si>
  <si>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</si>
  <si>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</si>
  <si>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</si>
  <si>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</si>
  <si>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</si>
  <si>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</si>
  <si>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</si>
  <si>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</si>
  <si>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</si>
  <si>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</si>
  <si>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</si>
  <si>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</si>
  <si>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</si>
  <si>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</si>
  <si>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</si>
  <si>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</si>
  <si>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</si>
  <si>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</si>
  <si>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</si>
  <si>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</si>
  <si>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</si>
  <si>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</si>
  <si>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</si>
  <si>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</si>
  <si>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</si>
  <si>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</si>
  <si>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</si>
  <si>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</si>
  <si>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</si>
  <si>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</si>
  <si>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</si>
  <si>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</si>
  <si>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</si>
  <si>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</si>
  <si>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</si>
  <si>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</si>
  <si>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</si>
  <si>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</si>
  <si>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</si>
  <si>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</si>
  <si>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</si>
  <si>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</si>
  <si>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</si>
  <si>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</si>
  <si>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</si>
  <si>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</si>
  <si>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</si>
  <si>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</si>
  <si>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</si>
  <si>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</si>
  <si>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</si>
  <si>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</si>
  <si>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</si>
  <si>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</si>
  <si>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</si>
  <si>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</si>
  <si>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</si>
  <si>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</si>
  <si>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</si>
  <si>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</si>
  <si>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</si>
  <si>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</si>
  <si>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</si>
  <si>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</si>
  <si>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</si>
  <si>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</si>
  <si>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</si>
  <si>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</si>
  <si>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</si>
  <si>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</si>
  <si>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</si>
  <si>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</si>
  <si>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</si>
  <si>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</si>
  <si>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みなさまへ</t>
  </si>
  <si>
    <t>入力シートについて</t>
  </si>
  <si>
    <t>※重複入力を極力避けられるように、【入力シート】をご活用ください</t>
  </si>
  <si>
    <t>このたびは、NICEWEB申請をご利用頂き、ありがとうございます。</t>
  </si>
  <si>
    <t>このエクセルは、確認検査業務に必要となる、各種申請書関係をまとめたもので、</t>
  </si>
  <si>
    <t>①</t>
  </si>
  <si>
    <t>【目次・入力シート】タブ　をクリック</t>
  </si>
  <si>
    <t>NICEWEB申請をご利用頂いた場合に限り、取得できるエクセルデータとなります。</t>
  </si>
  <si>
    <t>②</t>
  </si>
  <si>
    <t>入力シートに必要事項を入力してください。（赤枠の範囲）</t>
  </si>
  <si>
    <t>〈手順1〉　NICEWEBシステムで入力した情報が、自動的に反映され出力されます。</t>
  </si>
  <si>
    <t>〈手順2〉　【目次・入力シート】の黄色セルに入力頂くと、各シートに自動的に反映されます。</t>
  </si>
  <si>
    <t>〈手順3〉　さらに、不足する細かな記載内容については、各シートで入力をお願いします。</t>
  </si>
  <si>
    <t>もっとココを直せば更に利用し易いなど、様々なご要望をお待ちしております。</t>
  </si>
  <si>
    <t>ご不明点など、いつでもお気軽に、盛岡本部までご連絡をお願いいたします。</t>
  </si>
  <si>
    <t>作成の手引き</t>
  </si>
  <si>
    <t>①【目次・入力シート】の、「入力シート」に必要な情報を入力します。</t>
  </si>
  <si>
    <t>②【目次・入力シート】の、「目次」で、必要な書式を探します。</t>
  </si>
  <si>
    <t>③各シートで、入力のルールに沿って、黄色・水色・ピンク色のセルに入力します。</t>
  </si>
  <si>
    <t>入力のルール</t>
  </si>
  <si>
    <t>黄色セルに入力</t>
  </si>
  <si>
    <t>水色セルは選択ボタンから入力</t>
  </si>
  <si>
    <t>ピンク色セルは✓ボタン（□を左クリックすると、☑が表示され、もう一度左クリックすると□に戻ります。）</t>
  </si>
  <si>
    <t>緑色部分は【入力シート】に入力した内容が自動的に反映されます。</t>
  </si>
  <si>
    <t>紫色部分は【NICE】に入力した内容が自動的に出力されます。</t>
  </si>
  <si>
    <t>③</t>
  </si>
  <si>
    <t>【シートの構成】の下線部をクリックすると、該当シートにリンクします</t>
  </si>
  <si>
    <t>各シートの右上にある、このマークをクリックすると、【目次・入力シート】に戻ります</t>
  </si>
  <si>
    <t>（シートタブの検索に役立ちます）</t>
  </si>
  <si>
    <t>#A1：X54</t>
  </si>
  <si>
    <t>【第一面】</t>
  </si>
  <si>
    <t>黄色セルの下線部をクリックすると、シート内のページ移動ができます</t>
  </si>
  <si>
    <t>#A55：X108</t>
  </si>
  <si>
    <t>【第二面1枚目】</t>
  </si>
  <si>
    <t>更新履歴</t>
  </si>
  <si>
    <t>④</t>
  </si>
  <si>
    <t>③の入力が終わると、各シートの該当箇所に自動反映されるので、重複箇所の入力手間が省けます。</t>
  </si>
  <si>
    <t>開始</t>
  </si>
  <si>
    <t>⑤</t>
  </si>
  <si>
    <t>後は、申請に必要なシート毎に、入力をして様式を整え、印刷して申請してください。</t>
  </si>
  <si>
    <t>令和表記に変更</t>
  </si>
  <si>
    <t>免除申請（令和元年台風19号）確認・完了を追加</t>
  </si>
  <si>
    <t>事前相談、随時受付中!!</t>
  </si>
  <si>
    <t xml:space="preserve">     お気軽にご相談ください。</t>
  </si>
  <si>
    <t>一般財団法人 岩手県建築住宅センター　確認検査室　TEL019-623-4420</t>
  </si>
  <si>
    <t>確認専用アドレス　kakunin@ikjc.or.jp</t>
  </si>
  <si>
    <t>検査専用アドレス　kensa@ikjc.or.jp</t>
  </si>
  <si>
    <t>目　次</t>
  </si>
  <si>
    <t>※下線をクリックすると、それぞれのシートに跳びます。各シートの　　　　　　　　をクリックすると目次に戻ります。</t>
  </si>
  <si>
    <t>入力シート</t>
  </si>
  <si>
    <t>※NICEWEB申請での画面入力(申プロデータ読み込み含む）項目以外の入力項目</t>
  </si>
  <si>
    <t>目次・入力シート</t>
  </si>
  <si>
    <t>リスト2</t>
  </si>
  <si>
    <t>提出書類一覧</t>
  </si>
  <si>
    <t>物件名</t>
  </si>
  <si>
    <t>01 確認申請</t>
  </si>
  <si>
    <t>※下記担当者が所属する事務所名</t>
  </si>
  <si>
    <t>担当者名</t>
  </si>
  <si>
    <t>※主に確認・計変申請の補正事項や受取連絡等の問合せ窓口となる方の氏名を入力</t>
  </si>
  <si>
    <t>郵送申請（確認審査・適合証明設計検査）の提出票</t>
  </si>
  <si>
    <t>※郵送申請を希望する場合</t>
  </si>
  <si>
    <t>※必須入力</t>
  </si>
  <si>
    <t>携帯番号</t>
  </si>
  <si>
    <t>事前協議連絡票</t>
  </si>
  <si>
    <t>※事前申請を希望する場合（郵送の場合は、添付不要）</t>
  </si>
  <si>
    <t>現地調査票</t>
  </si>
  <si>
    <t>※全物件提出必須（盛岡市は、他法令調査票による。）</t>
  </si>
  <si>
    <t>E-mailアドレス</t>
  </si>
  <si>
    <t>※確認･計変申請の補正連絡をメールでご希望される方は入力</t>
  </si>
  <si>
    <t>確認申請書</t>
  </si>
  <si>
    <t>※NICEWEB申請、申プロでの作成を推奨（このエクセルに様式はありません）</t>
  </si>
  <si>
    <t>工事着手年月日</t>
  </si>
  <si>
    <t>※日付入力　例）2019/4/1</t>
  </si>
  <si>
    <t>概要書</t>
  </si>
  <si>
    <t>工事完了年月日</t>
  </si>
  <si>
    <t>※完了検査希望の場合、「完了検査」を選択</t>
  </si>
  <si>
    <t>委任状</t>
  </si>
  <si>
    <t xml:space="preserve">直前の確認番号  </t>
  </si>
  <si>
    <t>※直前の確認番号を、半角で入力してください。例）H31-1-0000-0</t>
  </si>
  <si>
    <t xml:space="preserve">確認年月日  </t>
  </si>
  <si>
    <t>適合証明現場検査</t>
  </si>
  <si>
    <t>※適合証明現場検査希望の場合、「適合証明現場検査」を選択</t>
  </si>
  <si>
    <t>確認申請手数料免除申請書</t>
  </si>
  <si>
    <t>※東日本大震災で持家・半壊以上の罹災証明がある場合
※令和元年台風第19号で、持家・床下浸水以上の罹災証明がある場合</t>
  </si>
  <si>
    <t xml:space="preserve">中間or竣工  </t>
  </si>
  <si>
    <t>※上記希望する場合、「中間」又は「竣工」の別を選択</t>
  </si>
  <si>
    <t xml:space="preserve">設計合格番号  </t>
  </si>
  <si>
    <t>※設計検査の合格番号を、半角で入力してください。例）H31-21-000</t>
  </si>
  <si>
    <t>参考様式</t>
  </si>
  <si>
    <t>災害復興</t>
  </si>
  <si>
    <t>※災害復興融資の場合、「災害復興」を選択</t>
  </si>
  <si>
    <t>検査場所</t>
  </si>
  <si>
    <t>※〇〇市〇〇町までを記入してください。（”岩手県”の記載は不要）</t>
  </si>
  <si>
    <t>既存不適格調書</t>
  </si>
  <si>
    <t>検査希望</t>
  </si>
  <si>
    <t>※検査希望「月」を選択</t>
  </si>
  <si>
    <t>※検査希望「日」を選択</t>
  </si>
  <si>
    <t>現況の調査書</t>
  </si>
  <si>
    <t>　　　増築時、該当する場合に、ご利用ください</t>
  </si>
  <si>
    <t>伝達事項メモ欄</t>
  </si>
  <si>
    <t>※時間帯指定などがある場合、伝達事項を入力してください。例）午前希望</t>
  </si>
  <si>
    <t>既存不適格法チェックリスト</t>
  </si>
  <si>
    <t>会 社 名</t>
  </si>
  <si>
    <t>検査日程連絡方法</t>
  </si>
  <si>
    <t>※検査日程のご連絡方法について、メールかFAXを選択</t>
  </si>
  <si>
    <t>02　計画変更</t>
  </si>
  <si>
    <t>※検査日程のご連絡をFAXで希望する場合は必須入力です。</t>
  </si>
  <si>
    <t>※検査日程のご連絡をメールで希望する場合は必須入力です。</t>
  </si>
  <si>
    <t>立会担当者</t>
  </si>
  <si>
    <t>※立会担当者が確定していれば</t>
  </si>
  <si>
    <t>郵送申請（計画変更）の提出票</t>
  </si>
  <si>
    <t>※半角で入力してください。立会担当者の連絡先を記入してください。</t>
  </si>
  <si>
    <t>計画変更申請書</t>
  </si>
  <si>
    <t>検査済証</t>
  </si>
  <si>
    <t>検査済証交付番号</t>
  </si>
  <si>
    <t>※番号を、半角で入力してください。例）H31-2-0000</t>
  </si>
  <si>
    <t>検査済証交付年月日</t>
  </si>
  <si>
    <t>03　完了検査</t>
  </si>
  <si>
    <t>郵送申請（完了検査・適合証明現場検査）の提出票</t>
  </si>
  <si>
    <t>検査予約票（完了検査・適合証明現場検査）</t>
  </si>
  <si>
    <t>※全物件提出必須、事前予約も可能</t>
  </si>
  <si>
    <t>完了検査申請書</t>
  </si>
  <si>
    <t>※ICBAの「申プロ」での作成を推奨します</t>
  </si>
  <si>
    <t>完了検査申請手数料免除申請書</t>
  </si>
  <si>
    <t>04　その他の届出</t>
  </si>
  <si>
    <t>確認申請取下届</t>
  </si>
  <si>
    <t>※確認申請の最中に申請を取り下げる場合</t>
  </si>
  <si>
    <t>記載事項変更等届</t>
  </si>
  <si>
    <t>※地名地番、代理者、監理者、施工者に変更（確定含む）があった場合</t>
  </si>
  <si>
    <t>　⁺⁺⁺計画変更申請と同時に変更する場合は、提出不要です。</t>
  </si>
  <si>
    <t>工事取りやめ届</t>
  </si>
  <si>
    <t>※確認済証交付後に工事を取りやめる場合</t>
  </si>
  <si>
    <t>完了検査申請取下届</t>
  </si>
  <si>
    <t>※完了検査申請の最中に申請を取り下げる場合</t>
  </si>
  <si>
    <t>証明願</t>
  </si>
  <si>
    <t>※確認済証と検査済証を紛失した場合</t>
  </si>
  <si>
    <t>確認済証・検査済証　再交付申請書</t>
  </si>
  <si>
    <t>　⁺⁺⁺H28.10.1以降の受付物件のみ対象</t>
  </si>
  <si>
    <t>工事届（第二面）</t>
  </si>
  <si>
    <t>主要用途の区分と記号番号一覧</t>
  </si>
  <si>
    <t>主要用途の区分</t>
  </si>
  <si>
    <t>記号</t>
  </si>
  <si>
    <t>農林水産業</t>
  </si>
  <si>
    <t>農業, 林業, 漁業, 水産養殖業</t>
  </si>
  <si>
    <t>鉱業, 採石業, 砂利採取業, 建設業</t>
  </si>
  <si>
    <t>鉱業, 採石業, 砂利採取業</t>
  </si>
  <si>
    <t>建設業</t>
  </si>
  <si>
    <t>製造業</t>
  </si>
  <si>
    <t>食料品製造業, 飲料・たばこ・飼料製造業, 繊維工業, 木材・木製品製造業, 家具・装備品製造業, パルプ・紙・紙加工品製造業, 印刷・同関連業, プラスチック製品製造業（記号15から記号18までに該当するものを除く。）, 窯業・土石製品製造業</t>
  </si>
  <si>
    <t>化学工業, 石油製品・石炭製品製造業</t>
  </si>
  <si>
    <t>下線部クリック‼　工事届に戻ります</t>
  </si>
  <si>
    <t>鉄鋼業, 非鉄金属製造業, 金属製品製造業</t>
  </si>
  <si>
    <t>↓</t>
  </si>
  <si>
    <t xml:space="preserve">はん用機械器具製造業, 生産用機械器具製造業, 業務用機械器具製造業, 電子部品・デバイス・電子回路製造業,  電気機械器具製造業, 情報通信機械器具製造業, 輸送用機械器具製造業, </t>
  </si>
  <si>
    <t>ゴム製品製造業, なめし革・同製品・毛皮製造業, その他の製造業</t>
  </si>
  <si>
    <t>電気・ガス・熱供給・水道業</t>
  </si>
  <si>
    <t>電気業</t>
  </si>
  <si>
    <t>ガス業</t>
  </si>
  <si>
    <t>熱供給業</t>
  </si>
  <si>
    <t>水道業</t>
  </si>
  <si>
    <t>情報通信業</t>
  </si>
  <si>
    <t>通信業</t>
  </si>
  <si>
    <t>放送業, 情報サービス業, インターネット附随サービス業</t>
  </si>
  <si>
    <t>映像・音声・文字情報制作業（新聞業及び出版業を除く。）</t>
  </si>
  <si>
    <t>映像・音声・文字情報制作業（新聞業及び出版業に限る。）</t>
  </si>
  <si>
    <t>運輸業</t>
  </si>
  <si>
    <t>鉄道業, 道路旅客運送業, 道路貨物運送業, 水運業, 航空運輸業, 倉庫業, 運輸に附帯するサービス業</t>
  </si>
  <si>
    <t>卸売業, 小売業</t>
  </si>
  <si>
    <t>金融業, 保険業</t>
  </si>
  <si>
    <t>不動産業</t>
  </si>
  <si>
    <t>不動産取引業, 不動産賃貸業・管理業（駐車場業を除く。）</t>
  </si>
  <si>
    <t>不動産賃貸業・管理業（駐車場業に限る。）</t>
  </si>
  <si>
    <t>宿泊業, 飲食サービス業</t>
  </si>
  <si>
    <t>宿泊業</t>
  </si>
  <si>
    <t>飲食店, 持ち帰り・配達飲食サービス業</t>
  </si>
  <si>
    <t>教育, 学習支援業</t>
  </si>
  <si>
    <t>学校教育</t>
  </si>
  <si>
    <t>その他の教育, 学習支援業（社会教育に限る。）</t>
  </si>
  <si>
    <t>その他の教育, 学習支援業（学習塾及び教養・技能教授業に限る。）</t>
  </si>
  <si>
    <t>その他の教育及び学習支援業（記号35及び記号36に該当するものを除く。）</t>
  </si>
  <si>
    <t>医療, 福祉</t>
  </si>
  <si>
    <t>医療業, 保健衛生</t>
  </si>
  <si>
    <t>社会保険・社会福祉・介護事業</t>
  </si>
  <si>
    <t>その他のサービス業</t>
  </si>
  <si>
    <t>郵便業（信書便事業を含む。）,郵便局</t>
  </si>
  <si>
    <t>学術・開発研究機関, 政治・経済・文化団体</t>
  </si>
  <si>
    <t>その他の生活関連サービス業（旅行業に限る。）</t>
  </si>
  <si>
    <t>娯楽業</t>
  </si>
  <si>
    <t>宗教</t>
  </si>
  <si>
    <t>物品賃貸業, 専門サービス業, 広告業, 技術サービス業,洗濯・理容・美容・浴場業, その他の生活関連サービス業（旅行業を除く。）,協同組合, サービス業（他に分類されないもの）（記号41及び記号44に該当するものを除く。）</t>
  </si>
  <si>
    <t>国家公務, 地方公務</t>
  </si>
  <si>
    <t>他に分類されないもの</t>
  </si>
  <si>
    <t>（一財）岩手県建築住宅センター</t>
  </si>
  <si>
    <t>確認申請・計画変更・完了検査の提出書類一覧</t>
  </si>
  <si>
    <t>提出部数</t>
  </si>
  <si>
    <t>必要な書類及び図書名　</t>
  </si>
  <si>
    <t>◆確認申請の場合◆</t>
  </si>
  <si>
    <t>◆その他の届出関係◆</t>
  </si>
  <si>
    <t>１部</t>
  </si>
  <si>
    <t>✧郵送申請（確認審査･適合証明設計検査）の提出票</t>
  </si>
  <si>
    <t>郵送申請の場合</t>
  </si>
  <si>
    <t>【確認申請の最中に申請を取り下げる場合】</t>
  </si>
  <si>
    <t>✧事前協議連絡票</t>
  </si>
  <si>
    <t>窓口申請で事前協議からの場合</t>
  </si>
  <si>
    <t>２部</t>
  </si>
  <si>
    <t>✧確認申請取下届</t>
  </si>
  <si>
    <r>
      <t>✧現地調査票(第2号様式)　</t>
    </r>
    <r>
      <rPr>
        <sz val="10"/>
        <color rgb="FFFF0000"/>
        <rFont val="Meiryo UI"/>
        <family val="3"/>
        <charset val="128"/>
      </rPr>
      <t>→　H31.4.1様式改正</t>
    </r>
  </si>
  <si>
    <t>盛岡市以外の場合</t>
  </si>
  <si>
    <t>✧他法令等調査票</t>
  </si>
  <si>
    <t>盛岡市の場合</t>
  </si>
  <si>
    <t>【地名地番、代理者、監理者、施工者に変更（確定含む）があった場合】</t>
  </si>
  <si>
    <t>消防同意有無により異なる↓</t>
  </si>
  <si>
    <t>✧確認申請書及び図書</t>
  </si>
  <si>
    <t>✧記載事項変更等届</t>
  </si>
  <si>
    <t>　⁺⁺⁺確認申請書</t>
  </si>
  <si>
    <t>第１～６面</t>
  </si>
  <si>
    <t>　⁺⁺⁺地名地番の変更の場合</t>
  </si>
  <si>
    <t>◆盛岡広域</t>
  </si>
  <si>
    <t>　⁺⁺⁺シックハウス関連</t>
  </si>
  <si>
    <t>・登記簿謄本の写し　１部　正本に添付</t>
  </si>
  <si>
    <t>盛岡市・葛巻町・岩手町・雫石町・矢巾町・八幡平市・紫波町・滝沢市</t>
  </si>
  <si>
    <t>　⁺⁺⁺委任状（正本のみに添付）　</t>
  </si>
  <si>
    <t>代理者による申請の場合</t>
  </si>
  <si>
    <t>・第２面の添付は不要</t>
  </si>
  <si>
    <t>　⁺⁺⁺許可書等の写し（開発許可等）</t>
  </si>
  <si>
    <t>該当する場合</t>
  </si>
  <si>
    <t>　⁺⁺⁺代理者、監理者、施工者の変更（確定）</t>
  </si>
  <si>
    <t>　⁺⁺⁺認定書の写し（型式認定等）</t>
  </si>
  <si>
    <t>・第２面は変更（確定）箇所のみ記載</t>
  </si>
  <si>
    <t>同意有：２部</t>
  </si>
  <si>
    <t>　⁺⁺⁺その他行政関連の写し（敷地分割、法12条5項報告等）</t>
  </si>
  <si>
    <t>・第２面は確認申請書第２面で可</t>
  </si>
  <si>
    <t>同意無：２部</t>
  </si>
  <si>
    <t>　⁺⁺⁺各図面</t>
  </si>
  <si>
    <t>　⁺⁺⁺記載事項変更等届の提出が不要な変更について</t>
  </si>
  <si>
    <t>◆上記以外</t>
  </si>
  <si>
    <r>
      <t>　⁺⁺⁺既存不適格関連　</t>
    </r>
    <r>
      <rPr>
        <sz val="10"/>
        <color rgb="FFFF0000"/>
        <rFont val="Meiryo UI"/>
        <family val="3"/>
        <charset val="128"/>
      </rPr>
      <t>→　H31.4.1参考様式準備</t>
    </r>
  </si>
  <si>
    <t>　　　・更新による事務所登録番号の変更（代理者、監理者）</t>
  </si>
  <si>
    <t>同意有：３部</t>
  </si>
  <si>
    <t>　⁺⁺⁺工場調書関連</t>
  </si>
  <si>
    <t>　　　・更新による建設業許可番号の変更（施工者）</t>
  </si>
  <si>
    <t>　⁺⁺⁺その他資料等</t>
  </si>
  <si>
    <t>　　【処理方法】</t>
  </si>
  <si>
    <t>３部</t>
  </si>
  <si>
    <t>✧構造計算概要書</t>
  </si>
  <si>
    <t>　　　　完了申請書第３面11.備考欄に、以下を記入してください。</t>
  </si>
  <si>
    <t>✧構造計算の安全性を確かめた旨の証明書</t>
  </si>
  <si>
    <t>　　　　「更新による登録番号の変更：登録番号　変更前→変更後」</t>
  </si>
  <si>
    <t>✧浄化槽票及び関連図書</t>
  </si>
  <si>
    <t>　　【留意】</t>
  </si>
  <si>
    <t>✧建築計画概要書</t>
  </si>
  <si>
    <t>　　　例えば、級の変更（１級から2級の事務所登録となった）や、</t>
  </si>
  <si>
    <t>✧工事届</t>
  </si>
  <si>
    <t>　　　事務所名を変更した場合などは、記載事項変更等届による</t>
  </si>
  <si>
    <t>✧確認申請手数料免除申請書(罹災証明書の写し添付）</t>
  </si>
  <si>
    <t>　　　届出をお願いします。</t>
  </si>
  <si>
    <t>✧申プロデータ提出（確認申請書1～6面のﾃﾞｰﾀ）</t>
  </si>
  <si>
    <t>提出できる場合</t>
  </si>
  <si>
    <t>◆計画変更の場合◆</t>
  </si>
  <si>
    <t>【確認済証交付後に工事を取りやめる場合】</t>
  </si>
  <si>
    <t>✧郵送申請（計画変更）の提出票</t>
  </si>
  <si>
    <t>✧工事取りやめ届</t>
  </si>
  <si>
    <t>　⁺⁺⁺確認済証及び副本の原本を提出</t>
  </si>
  <si>
    <t>【完了検査申請の最中に申請を取り下げる場合】</t>
  </si>
  <si>
    <t>✧完了検査申請取下届</t>
  </si>
  <si>
    <t>【確認済証と検査済証を紛失した場合】</t>
  </si>
  <si>
    <t>✧証明願</t>
  </si>
  <si>
    <t>　⁺⁺⁺既存不適格関連</t>
  </si>
  <si>
    <t>✧確認済証・検査済証　再交付申請書</t>
  </si>
  <si>
    <t>◆サービス内容に関するもの◆</t>
  </si>
  <si>
    <t>【確認申請プログラム（ICBA)を利用したい場合】</t>
  </si>
  <si>
    <t>✧確認申請プログラム（申プロ）利用申込書</t>
  </si>
  <si>
    <t>記載内容に変更がある場合</t>
  </si>
  <si>
    <t>✧誓約書</t>
  </si>
  <si>
    <t>　⁺⁺⁺最寄りの窓口へ提出（郵送可）</t>
  </si>
  <si>
    <t>●当センターで確認済証を交付した場合　⇒　変更箇所の図面のみ添付で可（変更箇所を朱書き等で明示）</t>
  </si>
  <si>
    <t>【Cポイントサービスを利用したい場合】　</t>
  </si>
  <si>
    <t>●当センター以外で確認済証を交付されている場合　⇒　直前の確認済証と確認申請書類一式の写し</t>
  </si>
  <si>
    <t>✧Ｃポイントカードサービス会員登録申請書</t>
  </si>
  <si>
    <t>を１部添付（正本に添付）</t>
  </si>
  <si>
    <t>　⁺⁺⁺最寄りの窓口へ提出（郵送・FAX・メール可）</t>
  </si>
  <si>
    <t>◆完了検査の場合◆</t>
  </si>
  <si>
    <t>◆連絡先◆</t>
  </si>
  <si>
    <t>該当</t>
  </si>
  <si>
    <t>✧郵送申請（完了検査・適合証明現場検査）の提出票</t>
  </si>
  <si>
    <t>一般財団法人　岩手県建築住宅センター</t>
  </si>
  <si>
    <t>必須</t>
  </si>
  <si>
    <t>✧検査予約票（完了検査・適合証明現場検査）</t>
  </si>
  <si>
    <t>事前予約可</t>
  </si>
  <si>
    <t>URL : http://www.ikjc.or.jp</t>
  </si>
  <si>
    <t>✧完了検査申請書</t>
  </si>
  <si>
    <t>第１～４面</t>
  </si>
  <si>
    <t>✧</t>
  </si>
  <si>
    <t>確認専用アドレス：</t>
  </si>
  <si>
    <t>kakunin@ikjc.or.jp</t>
  </si>
  <si>
    <t>✧委任状</t>
  </si>
  <si>
    <t>検査専用アドレス：</t>
  </si>
  <si>
    <t>kensa@ikjc.or.jp</t>
  </si>
  <si>
    <t>✧工事写真</t>
  </si>
  <si>
    <t>盛岡本部</t>
  </si>
  <si>
    <t>　※木造戸建住宅の新築工事で設計者特例有りの場合、以下①～③の代表部位を添付</t>
  </si>
  <si>
    <t>〒020-0045</t>
  </si>
  <si>
    <t>　①鉄筋コンクリート造の基礎の配筋の工事終了時</t>
  </si>
  <si>
    <t>岩手県盛岡市盛岡駅西通1-7-1</t>
  </si>
  <si>
    <t>　⁺⁺⁺底板、立上りの配筋間隔及び基礎に埋込むボルト類が確認できる工事写真</t>
  </si>
  <si>
    <t>　確認評価局 確認検査室</t>
  </si>
  <si>
    <t>　②構造耐力上主要な軸組若しくは耐力壁の工事終了時</t>
  </si>
  <si>
    <t>TEL</t>
  </si>
  <si>
    <t>019-623-4420</t>
  </si>
  <si>
    <t>FAX</t>
  </si>
  <si>
    <t>019-623-2005</t>
  </si>
  <si>
    <t>　⁺⁺⁺H12告示第1460号（木造軸組工法）、H13告示第1540号（枠組壁工法）
　　　等の基準に適合するボルト、釘、金物等が施工されていることが確認できるもの</t>
  </si>
  <si>
    <t>　✧営業時間✧9:00～17:00　✧休業日✧土日祝祭日及び年末年始</t>
  </si>
  <si>
    <t>沿岸支所</t>
  </si>
  <si>
    <t>　③屋根の小屋組の工事終了時</t>
  </si>
  <si>
    <t>〒026-0024</t>
  </si>
  <si>
    <t>　⁺⁺⁺梁、桁、母屋、垂木の接合金物が確認できる工事写真</t>
  </si>
  <si>
    <t>岩手県釜石市大町1-4-7大町復興住宅4号1階</t>
  </si>
  <si>
    <t>◆手数料免除に該当する場合</t>
  </si>
  <si>
    <t>0193-55-5742</t>
  </si>
  <si>
    <t>0193-55-5743</t>
  </si>
  <si>
    <t>✧完了検査申請手数料免除申請書</t>
  </si>
  <si>
    <t>罹災証明の写し添付</t>
  </si>
  <si>
    <t>◆浄化槽がある場合</t>
  </si>
  <si>
    <t>県南支所</t>
  </si>
  <si>
    <t>※電話番号のみ変更なし</t>
  </si>
  <si>
    <t>✧24時間漏水検査報告書</t>
  </si>
  <si>
    <t>原本</t>
  </si>
  <si>
    <t>〒023-0816</t>
  </si>
  <si>
    <t>※H31.3.18移転に伴い、営業時間も早まりました</t>
  </si>
  <si>
    <t>◆軽微変更がある場合</t>
  </si>
  <si>
    <t>岩手県奥州市水沢西町2番31号　メゾンノワール101号室</t>
  </si>
  <si>
    <t>✧変更後の図面</t>
  </si>
  <si>
    <t>変更箇所を朱書き</t>
  </si>
  <si>
    <t>0197-22-3835</t>
  </si>
  <si>
    <t>0197-34-2711</t>
  </si>
  <si>
    <t>✧変更後の建築計画概要書</t>
  </si>
  <si>
    <t>●当センター以外で確認済証を交付されている場合　⇒　直前の確認済証と確認申請書類一式の写しを１部添付（正本に添付）</t>
  </si>
  <si>
    <t>✧ぜひ、お近くの窓口まで、お気軽にご相談や申請を頂くよう、職員一同、心よりお待ちしております✧</t>
  </si>
  <si>
    <t>事前協議
窓口　・　WEB</t>
  </si>
  <si>
    <t>確認事前協議番号：</t>
  </si>
  <si>
    <t>確認申請交付希望日</t>
  </si>
  <si>
    <t>受　 　付　　日：令和　　　年　　　月　　　日</t>
  </si>
  <si>
    <t>担当者：</t>
  </si>
  <si>
    <t>連絡日：令和　　　年　　　月　　　日 ⇒ 訂正日：令和　　　年　　　月　　　日</t>
  </si>
  <si>
    <t>※上記欄は当センターで記載しますので、ご記入不要です。</t>
  </si>
  <si>
    <t>※お急ぎの場合ご記入してください。</t>
  </si>
  <si>
    <t>●連絡先の必要事項を記入してください●</t>
  </si>
  <si>
    <t>［建築場所］</t>
  </si>
  <si>
    <t>［建築主名］</t>
  </si>
  <si>
    <t>［会 社 名］</t>
  </si>
  <si>
    <t>［担当者名］</t>
  </si>
  <si>
    <t>［電話番号］</t>
  </si>
  <si>
    <t>［　FAX　番号　］</t>
  </si>
  <si>
    <t>［携帯番号］</t>
  </si>
  <si>
    <t>［E-mailアドレス］</t>
  </si>
  <si>
    <t>●設計者チェック欄に、提出した書類を ”■” でチェックしてください●</t>
  </si>
  <si>
    <t>設計者
ﾁｪｯｸ欄</t>
  </si>
  <si>
    <t>センター
ﾁｪｯｸ欄</t>
  </si>
  <si>
    <t>✧郵送申請（確認審査）の提出票</t>
  </si>
  <si>
    <r>
      <t>✧現地調査票(第2号様式)　</t>
    </r>
    <r>
      <rPr>
        <sz val="9"/>
        <color rgb="FFFF0000"/>
        <rFont val="Meiryo UI"/>
        <family val="3"/>
        <charset val="128"/>
      </rPr>
      <t>→　H30.4.1様式変更</t>
    </r>
  </si>
  <si>
    <t>✧建築工事届</t>
  </si>
  <si>
    <t>✧Cポイントカード　 （ポイント付与して返却します）</t>
  </si>
  <si>
    <t>✧申プロデータ提出（提出方法：郵送前にメール）　</t>
  </si>
  <si>
    <t>確認申請書1～6面のﾃﾞｰﾀ</t>
  </si>
  <si>
    <t>留意点</t>
  </si>
  <si>
    <t>※添付する図書には、設計者の記名・押印を忘れずにお願いいたします。</t>
  </si>
  <si>
    <t>※申請書、工事届、浄化槽、免除申請等の日付は記入せず提出してください。</t>
  </si>
  <si>
    <t>お知らせ</t>
  </si>
  <si>
    <t>※契約書、建築士免許証の写し、建築士定期講習の写しの添付は不要となりました。</t>
  </si>
  <si>
    <t>◆適合証明（ﾌﾗｯﾄ35）設計検査の場合◆</t>
  </si>
  <si>
    <t>✧設計検査申請書、設計図書、他必要書類一式</t>
  </si>
  <si>
    <t>※必要書類チェックシートに沿ってご準備ください。詳しくは、支援機構のHPをご確認ください。</t>
  </si>
  <si>
    <t>住宅金融支援機構のHPはこちら→　</t>
  </si>
  <si>
    <t>https://www.flat35.com/business/download/index.html</t>
  </si>
  <si>
    <t>※申請書等の日付は記入せず提出してください。</t>
  </si>
  <si>
    <t>※災害復興住宅の場合は、窓口申請のみ対応しております。</t>
  </si>
  <si>
    <t>※適合証明（フラット35）の申請書の代理者欄に記名等の記載がある場合は、委任状の添付は不要です。</t>
  </si>
  <si>
    <t>設計検査引受承諾書の添付は不要となりました。</t>
  </si>
  <si>
    <t>事前協議番号：</t>
  </si>
  <si>
    <t>交付希望日</t>
  </si>
  <si>
    <t>●当センターで確認済証を交付した場合</t>
  </si>
  <si>
    <t>　⇒　変更箇所の図面のみ添付で可（変更箇所を朱書き等で明示）</t>
  </si>
  <si>
    <t>●当センター以外で確認済証を交付されている場合</t>
  </si>
  <si>
    <t>　⇒　直前の確認済証と確認申請書類一式の写しを１部添付（正本に添付）</t>
  </si>
  <si>
    <r>
      <t>✧現地調査票(第2号様式)</t>
    </r>
    <r>
      <rPr>
        <sz val="8"/>
        <color theme="1"/>
        <rFont val="Meiryo UI"/>
        <family val="3"/>
        <charset val="128"/>
      </rPr>
      <t>　</t>
    </r>
    <r>
      <rPr>
        <sz val="8"/>
        <color rgb="FFFF0000"/>
        <rFont val="Meiryo UI"/>
        <family val="3"/>
        <charset val="128"/>
      </rPr>
      <t>→　H30.4.1様式変更</t>
    </r>
  </si>
  <si>
    <t>✧申プロデータ提出</t>
  </si>
  <si>
    <t>USB</t>
  </si>
  <si>
    <t>メール</t>
  </si>
  <si>
    <t>その他（</t>
  </si>
  <si>
    <t>私は</t>
  </si>
  <si>
    <t>を代理人</t>
  </si>
  <si>
    <t>と定め下記に関する権限を委任します。</t>
  </si>
  <si>
    <t>建築確認</t>
  </si>
  <si>
    <t>上記1.の業務に関する手続き、確認申請関係図書の訂正及び特定行政庁または指定確認検査機関から交付される文書の受領</t>
  </si>
  <si>
    <t>敷地の地名地番</t>
  </si>
  <si>
    <t>令和</t>
  </si>
  <si>
    <t>建築基準法第１５条第１項の規定による</t>
  </si>
  <si>
    <t>（第一面）</t>
  </si>
  <si>
    <t>岩手県知事　様</t>
  </si>
  <si>
    <t>下線部クリック‼該当ページに飛びます</t>
  </si>
  <si>
    <t>【第二面2枚目】</t>
  </si>
  <si>
    <t>【第三面】</t>
  </si>
  <si>
    <t>【第四面】</t>
  </si>
  <si>
    <t>工事施工者(設計者又は代理者）</t>
  </si>
  <si>
    <t>【別紙（追加の建築主）】</t>
  </si>
  <si>
    <t>（建築事務所名）</t>
  </si>
  <si>
    <t>工事監理者</t>
  </si>
  <si>
    <t>確認済証交付年月日</t>
  </si>
  <si>
    <t>除却工事施工者</t>
  </si>
  <si>
    <t>※受付経由機関記載欄</t>
  </si>
  <si>
    <t>（第二面）</t>
  </si>
  <si>
    <t>【１.建築主】</t>
  </si>
  <si>
    <t>(1)国</t>
  </si>
  <si>
    <t>(2)都道府県</t>
  </si>
  <si>
    <t>(3)市町村</t>
  </si>
  <si>
    <t>(4)会社</t>
  </si>
  <si>
    <t>(5)会社でない団体</t>
  </si>
  <si>
    <t>(6)個人</t>
  </si>
  <si>
    <t>【ﾛ.都市計画】</t>
  </si>
  <si>
    <t>(1)市街化区域</t>
  </si>
  <si>
    <t>(2)市街化調整区域</t>
  </si>
  <si>
    <t>(3)区域区分非設定都市計画区域</t>
  </si>
  <si>
    <t>(4)準都市計画区域</t>
  </si>
  <si>
    <t>(5)都市計画区域及び準都市計画区域外</t>
  </si>
  <si>
    <t>【４.工事種別】</t>
  </si>
  <si>
    <t>(1)新築</t>
  </si>
  <si>
    <t>(2)増築</t>
  </si>
  <si>
    <t>(3)改築</t>
  </si>
  <si>
    <t>(4)移転</t>
  </si>
  <si>
    <t>【５.主要用途】</t>
  </si>
  <si>
    <t>(1)居住専用建築物</t>
  </si>
  <si>
    <t>(2)居住産業併用建築物</t>
  </si>
  <si>
    <t>(3)産業専用建築物</t>
  </si>
  <si>
    <t>【６.一の建築物ごとの内容】</t>
  </si>
  <si>
    <t>【ｲ.番号】</t>
  </si>
  <si>
    <t>【ﾛ.用途】</t>
  </si>
  <si>
    <t>(1)事務所等</t>
  </si>
  <si>
    <t>(2)物品販売業を</t>
  </si>
  <si>
    <t>　営む店舗等</t>
  </si>
  <si>
    <t>(3)工場,作業場</t>
  </si>
  <si>
    <t>(4)倉庫</t>
  </si>
  <si>
    <t>(5)学校</t>
  </si>
  <si>
    <t>(6)病院,診療所</t>
  </si>
  <si>
    <t>(9)その他</t>
  </si>
  <si>
    <t>【ﾊ.工事部分の構造】</t>
  </si>
  <si>
    <t>(1)木造</t>
  </si>
  <si>
    <t>(4)鉄骨造</t>
  </si>
  <si>
    <t>(6)その他</t>
  </si>
  <si>
    <t>㎡）</t>
  </si>
  <si>
    <t>万円）</t>
  </si>
  <si>
    <t>　　）</t>
  </si>
  <si>
    <t>【７.新築工事の場合における敷地面積】</t>
  </si>
  <si>
    <t>㎡</t>
  </si>
  <si>
    <t>【１.住宅部分の概要】</t>
  </si>
  <si>
    <t>(5)その他</t>
  </si>
  <si>
    <t>(1)在来工法</t>
  </si>
  <si>
    <t>(2)プレハブ工法</t>
  </si>
  <si>
    <t>(3)枠組壁工法</t>
  </si>
  <si>
    <t>(1)持家</t>
  </si>
  <si>
    <t>(2)貸家</t>
  </si>
  <si>
    <t>(3)給与住宅</t>
  </si>
  <si>
    <t>(4)分譲住宅</t>
  </si>
  <si>
    <t>（第四面）</t>
  </si>
  <si>
    <t>【１.主要用途】</t>
  </si>
  <si>
    <t>(1)老朽して危険があるため</t>
  </si>
  <si>
    <t>(2)その他</t>
  </si>
  <si>
    <t>【４.建築物の数】</t>
  </si>
  <si>
    <t>【５.住宅の戸数】</t>
  </si>
  <si>
    <t>【６.住宅の利用関係】</t>
  </si>
  <si>
    <t>【７.建築物の床面積の合計】</t>
  </si>
  <si>
    <t>【８.建築物の評価額】</t>
  </si>
  <si>
    <t>別紙</t>
  </si>
  <si>
    <t>【追加の建築主】</t>
  </si>
  <si>
    <t>【建築主、設置者又は築造主２】</t>
  </si>
  <si>
    <t>【建築主、設置者又は築造主３】</t>
  </si>
  <si>
    <t>【建築主、設置者又は築造主４】</t>
  </si>
  <si>
    <t>（別紙様式1号）</t>
  </si>
  <si>
    <t>申請者 住所</t>
  </si>
  <si>
    <t>下記により、確認審査手数料の免除を申請します。</t>
  </si>
  <si>
    <t>１ 建築主氏名</t>
  </si>
  <si>
    <t>２ 敷地の所在地</t>
  </si>
  <si>
    <t>３ 敷地の面積</t>
  </si>
  <si>
    <t>４ 住宅の構造種別及び階数</t>
  </si>
  <si>
    <t>、</t>
  </si>
  <si>
    <t>階建</t>
  </si>
  <si>
    <t>５ 建築面積及び延べ面積</t>
  </si>
  <si>
    <t>６ 減免申請理由</t>
  </si>
  <si>
    <t>により住宅が罹災したため</t>
  </si>
  <si>
    <t>全壊</t>
  </si>
  <si>
    <t>大規模半壊</t>
  </si>
  <si>
    <t>半壊</t>
  </si>
  <si>
    <t>床上浸水</t>
  </si>
  <si>
    <t xml:space="preserve">７ 免除する手数料の金額 </t>
  </si>
  <si>
    <t>円</t>
  </si>
  <si>
    <t>（注）市町村又は消防署が発行する被災（罹災）証明書の写しを必ず添付して下さい。　</t>
  </si>
  <si>
    <t>※建築確認番号及び交付年月日　第Ｒ　　－１－　　　－　号　（令和　　年　　月　　日）</t>
  </si>
  <si>
    <t>建築主 住所</t>
  </si>
  <si>
    <t>既存建築物について、適切に建築されていることを調査したので報告します。</t>
  </si>
  <si>
    <t>有り</t>
  </si>
  <si>
    <t>無し</t>
  </si>
  <si>
    <t>検査済証番号</t>
  </si>
  <si>
    <t>建築場所</t>
  </si>
  <si>
    <t>既存建築物を</t>
  </si>
  <si>
    <t>調査した者</t>
  </si>
  <si>
    <t>①資格</t>
  </si>
  <si>
    <t>②氏名</t>
  </si>
  <si>
    <t>③建築士事務所名</t>
  </si>
  <si>
    <t>⑤電話番号</t>
  </si>
  <si>
    <t>状況報告事項</t>
  </si>
  <si>
    <t>備考欄</t>
  </si>
  <si>
    <t>建築主事又は確認検査機関記入欄</t>
  </si>
  <si>
    <t xml:space="preserve">本調書を構成する図書
１．現況の調査書（所定の記入欄への必要事項を記載）
２．既存建築物の平面図及び配置図（増改築の履歴がある場合は、当該部分を示す必要があります）
３．新築又は増改築の時期を示す書類
　　　・検査済証
　　　・検査済証が無い場合は、確認済証又は確認台帳の記載事項証明（建築確認を行った機関が交付
　　　　したもの）に加えて、工事の実施を特定できる書類（工事契約書等、登記事項証明書等）
　　　・建築確認台帳が災害等により滅失している場合は、建築確認後の工事の実施を特定できる書類
４．基準時以前の建築基準関係への適合を確かめるための図書等（法第6条第1項第四号などの小規模
　　建築物については、１．現況の調査書が兼ねます）
</t>
  </si>
  <si>
    <t>私</t>
  </si>
  <si>
    <t>は、今般下表の</t>
  </si>
  <si>
    <t>「計画概要」の計画をしていますが、既存建築物の現況を調査しましたので報告いたします。</t>
  </si>
  <si>
    <t>この調査書に記載の事項は事実に相違ありません。</t>
  </si>
  <si>
    <t>①氏名</t>
  </si>
  <si>
    <t>②住所</t>
  </si>
  <si>
    <t>③電話番号</t>
  </si>
  <si>
    <t>調査者</t>
  </si>
  <si>
    <t>④所在地</t>
  </si>
  <si>
    <t>計画概要</t>
  </si>
  <si>
    <t>①敷地位置</t>
  </si>
  <si>
    <t>②現況主要用途</t>
  </si>
  <si>
    <t>④工事種別</t>
  </si>
  <si>
    <t>調査結果概要</t>
  </si>
  <si>
    <t>①集団規定</t>
  </si>
  <si>
    <t>適法</t>
  </si>
  <si>
    <t>既存不適格</t>
  </si>
  <si>
    <t>既存不適格条項</t>
  </si>
  <si>
    <t>②構造耐力関係規定</t>
  </si>
  <si>
    <t>③上記以外の規定</t>
  </si>
  <si>
    <t>④増改築等の履歴</t>
  </si>
  <si>
    <t>⑤既存部分の劣化</t>
  </si>
  <si>
    <t>　状況</t>
  </si>
  <si>
    <t>法チェックリスト</t>
  </si>
  <si>
    <t>適用範囲</t>
  </si>
  <si>
    <t>仕様規定</t>
  </si>
  <si>
    <t>内　容</t>
  </si>
  <si>
    <t>既存
部分</t>
  </si>
  <si>
    <t>増築
部分</t>
  </si>
  <si>
    <t>耐久性等関係規定</t>
  </si>
  <si>
    <t>令37条</t>
  </si>
  <si>
    <t>：構造部材の耐久</t>
  </si>
  <si>
    <t>構造耐力上主要な部分の防腐若しくは摩損防止の措置</t>
  </si>
  <si>
    <t>腐朽等しにくい材料</t>
  </si>
  <si>
    <t>防腐等措置</t>
  </si>
  <si>
    <t>令38条1項</t>
  </si>
  <si>
    <t>：基礎の種別</t>
  </si>
  <si>
    <t>基礎の種別</t>
  </si>
  <si>
    <t>布基礎</t>
  </si>
  <si>
    <t>べた基礎</t>
  </si>
  <si>
    <t>令38条5項</t>
  </si>
  <si>
    <t>：基礎ぐい</t>
  </si>
  <si>
    <t>基礎ぐいの打撃力その他外力に対する構造耐力上の安全性</t>
  </si>
  <si>
    <t>該当なし</t>
  </si>
  <si>
    <t>該当（</t>
  </si>
  <si>
    <t>安全性有り</t>
  </si>
  <si>
    <t>その他）</t>
  </si>
  <si>
    <t>令38条6項</t>
  </si>
  <si>
    <t>：木ぐい</t>
  </si>
  <si>
    <t>常水面に対する木ぐいの高さ</t>
  </si>
  <si>
    <t>常水面下</t>
  </si>
  <si>
    <t>令39条1項</t>
  </si>
  <si>
    <t>：屋根ふき材等の緊結</t>
  </si>
  <si>
    <t>屋根ふき材等が脱落しないための措置</t>
  </si>
  <si>
    <t>屋根詳細図・外壁詳細図に示す</t>
  </si>
  <si>
    <t>令41条</t>
  </si>
  <si>
    <t>：木材</t>
  </si>
  <si>
    <t>構造耐力上主要な部分に使用する木材の耐力上の欠点</t>
  </si>
  <si>
    <t>欠点無し</t>
  </si>
  <si>
    <t>令49条1項</t>
  </si>
  <si>
    <t>：外壁内部等の防腐措置等</t>
  </si>
  <si>
    <t>軸組が腐りやすい構造である部分の下地への防水紙等の使用</t>
  </si>
  <si>
    <t>防水紙使用</t>
  </si>
  <si>
    <t>令49条2項</t>
  </si>
  <si>
    <t>：同上</t>
  </si>
  <si>
    <t>柱、筋かい及び土台の地面から1ｍ以内の部分の防腐・防蟻措置等</t>
  </si>
  <si>
    <t>その他の仕様規定</t>
  </si>
  <si>
    <t>令38条2･3項</t>
  </si>
  <si>
    <t>：基礎の構造方法</t>
  </si>
  <si>
    <t>異種構造の併用禁止・平12年建告第1347号の構造方法による基礎</t>
  </si>
  <si>
    <t>基礎詳細図に示す</t>
  </si>
  <si>
    <t>令39条2項</t>
  </si>
  <si>
    <t>：屋根ふき材等の構造</t>
  </si>
  <si>
    <t>昭46年建告第109号の構造方法による屋根ふき材等の緊結</t>
  </si>
  <si>
    <t>令42条</t>
  </si>
  <si>
    <t>：土台及び基礎</t>
  </si>
  <si>
    <t>最下階の柱と土台又は基礎との緊結</t>
  </si>
  <si>
    <t>令43条</t>
  </si>
  <si>
    <t>：柱の小径</t>
  </si>
  <si>
    <t>柱の小径、横架材間の垂直距離に対する割合、隅柱の措置、柱の細長比</t>
  </si>
  <si>
    <t>柱の部材リスト・平面図に示す</t>
  </si>
  <si>
    <t>令44条</t>
  </si>
  <si>
    <t>：はり等の横架材</t>
  </si>
  <si>
    <t>はり等の横架材の中央部附近の下側への耐力上支障ある欠込み</t>
  </si>
  <si>
    <t>欠込み無し</t>
  </si>
  <si>
    <t>令45条1･2項</t>
  </si>
  <si>
    <t>：筋かいの材料</t>
  </si>
  <si>
    <t>引張り力及び圧縮力を負担する筋かいの材料と寸法</t>
  </si>
  <si>
    <t>筋かいの部材リストに示す</t>
  </si>
  <si>
    <t>令45条3項</t>
  </si>
  <si>
    <t>：筋かいの端部の緊結</t>
  </si>
  <si>
    <t>筋かい端部の、柱と横架材との仕口に接近した部分での緊結</t>
  </si>
  <si>
    <t>金物で緊結</t>
  </si>
  <si>
    <t>令45条4項</t>
  </si>
  <si>
    <t>：筋かいの補強</t>
  </si>
  <si>
    <t>筋かいをたすき掛けするためにやむを得ず欠込みをする場合の補強措置</t>
  </si>
  <si>
    <t>補強有り</t>
  </si>
  <si>
    <t>令46条1･4項</t>
  </si>
  <si>
    <t>：構造耐力上主要な軸組</t>
  </si>
  <si>
    <t>壁又は筋かいを入れた軸組の釣り合いよい配置、必要壁量の設置</t>
  </si>
  <si>
    <t>壁量と壁配置のチェック・平面図に示す</t>
  </si>
  <si>
    <t>令46条3項</t>
  </si>
  <si>
    <t>：火打材・振れ止め</t>
  </si>
  <si>
    <t>床組及び小屋ばり組の隅角の火打材の使用、小屋組の振れ止めの措置</t>
  </si>
  <si>
    <t>火打材使用</t>
  </si>
  <si>
    <t>振れ止め有り</t>
  </si>
  <si>
    <t>その他（合板）</t>
  </si>
  <si>
    <t>令47条</t>
  </si>
  <si>
    <t>：継手又は仕口</t>
  </si>
  <si>
    <t>平12年建告第1460号の構造方法による継手又は仕口</t>
  </si>
  <si>
    <t>継手仕口の金物リスト・平面図に示す</t>
  </si>
  <si>
    <t>設計者資格</t>
  </si>
  <si>
    <t>設計者氏名</t>
  </si>
  <si>
    <t>受付日：令和　　　年　　　月　　　日</t>
  </si>
  <si>
    <t>※受付日は当センターで記載しますので、ご記入不要です。</t>
  </si>
  <si>
    <t>［検査種類］</t>
  </si>
  <si>
    <t>※ご希望の検査種類に、　”☑”　でチェックしてください。</t>
  </si>
  <si>
    <t>[直前の確認番号]</t>
  </si>
  <si>
    <t>中間</t>
  </si>
  <si>
    <t>竣工</t>
  </si>
  <si>
    <t>[設計合格番号]</t>
  </si>
  <si>
    <t>●設計者チェック欄に、提出した書類を ”☑” でチェックしてください●</t>
  </si>
  <si>
    <t>罹災証明添付</t>
  </si>
  <si>
    <t>◆適合証明（ﾌﾗｯﾄ35）中間検査の場合◆</t>
  </si>
  <si>
    <t>✧中間現場検査申請書、他必要書類一式</t>
  </si>
  <si>
    <t>◆適合証明（ﾌﾗｯﾄ35）竣工検査の場合◆</t>
  </si>
  <si>
    <r>
      <t>✧検査予約票（完了検査・適合証明現場検査）</t>
    </r>
    <r>
      <rPr>
        <sz val="9"/>
        <color indexed="8"/>
        <rFont val="Meiryo UI"/>
        <family val="3"/>
        <charset val="128"/>
      </rPr>
      <t>　※完了検査と同時の場合は添付不要</t>
    </r>
  </si>
  <si>
    <t>✧竣工現場検査申請書、他必要書類一式</t>
  </si>
  <si>
    <t>※変更箇所がある場合は、ご郵送前に、軽微変更or計画変更のどちらに該当するのか、</t>
  </si>
  <si>
    <t>　　申請される窓口の担当者にご確認ください。</t>
  </si>
  <si>
    <t>中間現場検査引受承諾書、竣工現場検査引受承諾書の添付は不要となりました。</t>
  </si>
  <si>
    <t>検査予約票の受理について</t>
  </si>
  <si>
    <t>受理日</t>
  </si>
  <si>
    <t>申 請 者　様</t>
  </si>
  <si>
    <r>
      <t>　当センターへ検査予約のお申込みを頂きありがとうございます。完了申請のお手続きは、最寄りの窓口にご持参 又は 郵送の場合は、</t>
    </r>
    <r>
      <rPr>
        <u/>
        <sz val="11"/>
        <color theme="1"/>
        <rFont val="ＭＳ 明朝"/>
        <family val="1"/>
        <charset val="128"/>
      </rPr>
      <t>　　　　　　</t>
    </r>
    <r>
      <rPr>
        <sz val="11"/>
        <color theme="1"/>
        <rFont val="ＭＳ 明朝"/>
        <family val="1"/>
        <charset val="128"/>
      </rPr>
      <t>宛に、</t>
    </r>
  </si>
  <si>
    <r>
      <t>日の</t>
    </r>
    <r>
      <rPr>
        <u/>
        <sz val="11"/>
        <color theme="1"/>
        <rFont val="ＭＳ 明朝"/>
        <family val="1"/>
        <charset val="128"/>
      </rPr>
      <t>午前中必着で</t>
    </r>
    <r>
      <rPr>
        <sz val="11"/>
        <color theme="1"/>
        <rFont val="ＭＳ 明朝"/>
        <family val="1"/>
        <charset val="128"/>
      </rPr>
      <t>お願いいたします。</t>
    </r>
  </si>
  <si>
    <r>
      <t>検査予約票</t>
    </r>
    <r>
      <rPr>
        <sz val="16"/>
        <color theme="1"/>
        <rFont val="Meiryo UI"/>
        <family val="3"/>
        <charset val="128"/>
      </rPr>
      <t>（完了検査・適合証明現場検査）</t>
    </r>
  </si>
  <si>
    <t>［検査エリア］</t>
  </si>
  <si>
    <t>［FAX送付先］</t>
  </si>
  <si>
    <t>県南支所FAX番号変更
H31.3.18～</t>
  </si>
  <si>
    <t>下記を除く、市町村</t>
  </si>
  <si>
    <t>→</t>
  </si>
  <si>
    <t>遠野市、西和賀町、北上市、金ヶ崎町、奥州市、平泉町、一関市</t>
  </si>
  <si>
    <t>山田町、大槌町、釜石市、住田町、大船渡市、陸前高田市</t>
  </si>
  <si>
    <t>※メールで送信頂く場合は、検査場所に関わらずメール送信先は同じです。 
この用紙をPDFデータとしてメール添付してお送りください。</t>
  </si>
  <si>
    <t>［メール送付先］</t>
  </si>
  <si>
    <r>
      <t>下記連絡事項にご記入のうえ、申請の手続きをお願いいたします。なお、</t>
    </r>
    <r>
      <rPr>
        <sz val="12"/>
        <color indexed="10"/>
        <rFont val="Meiryo UI"/>
        <family val="3"/>
        <charset val="128"/>
      </rPr>
      <t>検査希望日の4日前午前中（土日祝日除く）までに当センターに書類が到着</t>
    </r>
    <r>
      <rPr>
        <sz val="11"/>
        <color indexed="10"/>
        <rFont val="Meiryo UI"/>
        <family val="3"/>
        <charset val="128"/>
      </rPr>
      <t>するようご協力をお願いいたします。　※郵送も可能です。</t>
    </r>
  </si>
  <si>
    <t>●検査内容を記入してください●</t>
  </si>
  <si>
    <t>［検査場所］</t>
  </si>
  <si>
    <t>［検査希望日］</t>
  </si>
  <si>
    <t>[</t>
  </si>
  <si>
    <t>]</t>
  </si>
  <si>
    <t>※検査の混雑状況により、ご希望に沿えない場合がございますので、改めご了承ください。</t>
  </si>
  <si>
    <t>［手 数 料］</t>
  </si>
  <si>
    <t>窓口</t>
  </si>
  <si>
    <t>銀行振込</t>
  </si>
  <si>
    <r>
      <t>●連絡先の必要事項を記入してください●　</t>
    </r>
    <r>
      <rPr>
        <sz val="10"/>
        <color indexed="10"/>
        <rFont val="Meiryo UI"/>
        <family val="3"/>
        <charset val="128"/>
      </rPr>
      <t>※は記入必須事項</t>
    </r>
  </si>
  <si>
    <r>
      <rPr>
        <vertAlign val="superscript"/>
        <sz val="11"/>
        <color indexed="10"/>
        <rFont val="Meiryo UI"/>
        <family val="3"/>
        <charset val="128"/>
      </rPr>
      <t>※</t>
    </r>
    <r>
      <rPr>
        <sz val="11"/>
        <color indexed="10"/>
        <rFont val="Meiryo UI"/>
        <family val="3"/>
        <charset val="128"/>
      </rPr>
      <t>［会 社 名］</t>
    </r>
  </si>
  <si>
    <r>
      <rPr>
        <vertAlign val="superscript"/>
        <sz val="10"/>
        <color indexed="10"/>
        <rFont val="Meiryo UI"/>
        <family val="3"/>
        <charset val="128"/>
      </rPr>
      <t>※</t>
    </r>
    <r>
      <rPr>
        <sz val="10"/>
        <color indexed="10"/>
        <rFont val="Meiryo UI"/>
        <family val="3"/>
        <charset val="128"/>
      </rPr>
      <t>［電話番号］</t>
    </r>
  </si>
  <si>
    <r>
      <rPr>
        <vertAlign val="superscript"/>
        <sz val="11"/>
        <color indexed="10"/>
        <rFont val="Meiryo UI"/>
        <family val="3"/>
        <charset val="128"/>
      </rPr>
      <t>※</t>
    </r>
    <r>
      <rPr>
        <sz val="11"/>
        <color indexed="10"/>
        <rFont val="Meiryo UI"/>
        <family val="3"/>
        <charset val="128"/>
      </rPr>
      <t>［FAX番号］</t>
    </r>
  </si>
  <si>
    <t>［立会担当者］</t>
  </si>
  <si>
    <t>　　　↑検査日程のご連絡先：FAX or メールのどちらを希望されるか選択してください。</t>
  </si>
  <si>
    <t>※下記欄は当センターで記載しますので、ご記入不要です。</t>
  </si>
  <si>
    <t>送信日：令和　　年　　月　　日</t>
  </si>
  <si>
    <t>送信先</t>
  </si>
  <si>
    <t>検査員</t>
  </si>
  <si>
    <t>発信元</t>
  </si>
  <si>
    <t>（一財)岩手県建築住宅センター</t>
  </si>
  <si>
    <t>　　　</t>
  </si>
  <si>
    <t>　別添書類の建築物の検査を指示しますので、工事監理者等と日程を調整のうえ検査を実施し、その結果を速やかに報告願います。</t>
  </si>
  <si>
    <t>・依頼番号</t>
  </si>
  <si>
    <t>住セ建基外部検第</t>
  </si>
  <si>
    <t>・完了検査引受</t>
  </si>
  <si>
    <t>令和　　年　　月　　日</t>
  </si>
  <si>
    <t>・フラット　中間検査</t>
  </si>
  <si>
    <t>・フラット　竣工検査</t>
  </si>
  <si>
    <t>・災害復興住宅　現場検査</t>
  </si>
  <si>
    <t>　原議受取　　　月　　日までに</t>
  </si>
  <si>
    <t>第十九号様式（第四条、第四条の四の二関係）</t>
  </si>
  <si>
    <t>【第二面3枚目】</t>
  </si>
  <si>
    <t>　工事を完了しましたので、建築基準法第７条第１項又は第７条の２第１項（これらの規定を同法第８７条の２又は第８８条第１項若しくは第２項において準用する場合を含む。）の規定により、検査を申請します。この申請書及び添付図書に記載の事項は、事実に相違ありません。</t>
  </si>
  <si>
    <t>【別紙（追加の軽微変更内容）】</t>
  </si>
  <si>
    <t>申請者氏名</t>
  </si>
  <si>
    <t>　第四面に記載の事項は、事実に相違ありません。</t>
  </si>
  <si>
    <t>工事監理者氏名</t>
  </si>
  <si>
    <t>【検査を申請する建築物等】</t>
  </si>
  <si>
    <t>工作物（昇降機）</t>
  </si>
  <si>
    <t>工作物（法第８８条第１項）</t>
  </si>
  <si>
    <t>工作物（法第８８条第２項）</t>
  </si>
  <si>
    <t>※手数料欄</t>
  </si>
  <si>
    <t>※受付欄</t>
  </si>
  <si>
    <t>※検査の特例欄</t>
  </si>
  <si>
    <t>※検査欄</t>
  </si>
  <si>
    <t>※決裁欄</t>
  </si>
  <si>
    <t>※検査済証欄</t>
  </si>
  <si>
    <t>　　　　年　　月　　日</t>
  </si>
  <si>
    <t>第　　　　　　　　　号</t>
  </si>
  <si>
    <t>係員印</t>
  </si>
  <si>
    <t>建築主、設置者又は築造主等の概要</t>
  </si>
  <si>
    <t>【１.建築主、設置者又は築造主】</t>
  </si>
  <si>
    <t>【ｲ.氏名のﾌﾘｶﾞﾅ】</t>
  </si>
  <si>
    <t>【ﾆ.住所】</t>
  </si>
  <si>
    <t>【２.代理者】</t>
  </si>
  <si>
    <t>【ｲ.資格】</t>
  </si>
  <si>
    <t>【ﾊ.建築士事務所名】</t>
  </si>
  <si>
    <t>【ﾆ.郵便番号】</t>
  </si>
  <si>
    <t>【ﾎ.所在地】</t>
  </si>
  <si>
    <t>【ﾍ.電話番号】</t>
  </si>
  <si>
    <t>【３.設計者】</t>
  </si>
  <si>
    <t>（代表となる設計者）</t>
  </si>
  <si>
    <t>【ﾄ.作成した設計図書】</t>
  </si>
  <si>
    <t>【４.工事監理者】</t>
  </si>
  <si>
    <t>【ﾄ.工事と照合した設計図書】</t>
  </si>
  <si>
    <t>【５.建築設備の工事監理に関し意見を聴いた者】</t>
  </si>
  <si>
    <t>（代表となる建築設備の工事監理に関し意見を聴いた者）</t>
  </si>
  <si>
    <t>（その他の建築設備の工事監理に関し意見を聴いた者）</t>
  </si>
  <si>
    <t>【６.工事施工者】</t>
  </si>
  <si>
    <t>【ﾛ.営業所名】</t>
  </si>
  <si>
    <t>建設業の許可（</t>
  </si>
  <si>
    <t>）第</t>
  </si>
  <si>
    <t>【７.備考】</t>
  </si>
  <si>
    <t>申請する工事の概要</t>
  </si>
  <si>
    <t>【1.建築場所、設置場所又は築造場所】</t>
  </si>
  <si>
    <t>【ｲ.建築基準法施行令第１０条各号に掲げる建築物の区分】</t>
  </si>
  <si>
    <t>【ﾛ.工事種別】</t>
  </si>
  <si>
    <t>【ﾊ.建築基準法第６８条の２０第２項の検査の特例に係る認証番号】</t>
  </si>
  <si>
    <t>【3.確認済証番号】</t>
  </si>
  <si>
    <t>【4.確認済証交付年月日】</t>
  </si>
  <si>
    <t>【5.確認済証交付者】</t>
  </si>
  <si>
    <t>一般財団法人岩手県建築住宅センター　理事長</t>
  </si>
  <si>
    <t>【8.検査対象床面積】　</t>
  </si>
  <si>
    <t>（第</t>
  </si>
  <si>
    <t>回）</t>
  </si>
  <si>
    <t>【10.確認以降の軽微な変更の概要】</t>
  </si>
  <si>
    <t>【11.備考】</t>
  </si>
  <si>
    <t>工事監理の状況</t>
  </si>
  <si>
    <t>確認を行った部位、材料の種類等</t>
  </si>
  <si>
    <t>照合を行った設計図書</t>
  </si>
  <si>
    <t>照合結果
（不適の場合には建築主に対して行った報告の内容）</t>
  </si>
  <si>
    <t>敷地の形状、高さ、衛生及び安全</t>
  </si>
  <si>
    <t>適・</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</si>
  <si>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</si>
  <si>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</si>
  <si>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</si>
  <si>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</si>
  <si>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</si>
  <si>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居室の内装仕上げに用いる建築材料の種類及び当該建築材料を用いる部分の面積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</si>
  <si>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</si>
  <si>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</si>
  <si>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</si>
  <si>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寝室等の住宅用防災機器</t>
  </si>
  <si>
    <t>（別紙）</t>
  </si>
  <si>
    <t>（別紙様式２号）</t>
  </si>
  <si>
    <t>下記により、完了検査申請手数料の免除を申請します。</t>
  </si>
  <si>
    <t>３ 建築確認番号、年月日</t>
  </si>
  <si>
    <t>４ 完了年月日</t>
  </si>
  <si>
    <t>５ 検査対象面積</t>
  </si>
  <si>
    <t>６ 免除の理由</t>
  </si>
  <si>
    <t>※完了検査番号及び交付年月日　第Ｒ　　－２－　　　－　号　（令和　　年　　月　　日）</t>
  </si>
  <si>
    <t>第６号様式</t>
  </si>
  <si>
    <t>【申請書】</t>
  </si>
  <si>
    <t>【別紙】</t>
  </si>
  <si>
    <t>届出者 氏名</t>
  </si>
  <si>
    <t>に申請しました確認申請について、貴センター確認検査業務</t>
  </si>
  <si>
    <t>規程第23条第１項の規程により取り下げます。</t>
  </si>
  <si>
    <t>１．引受承諾年月日</t>
  </si>
  <si>
    <t>２．申請受付番号</t>
  </si>
  <si>
    <t>３．申請取下げの理由</t>
  </si>
  <si>
    <t>※ 届出者は、原則、建築主（設置者、築造主を含む。）としてください。建築主でない場合は、別紙にその理由、住所及び連絡先（電話番号）を記載して提出してください。</t>
  </si>
  <si>
    <t>上記の届出の件について、受理しました。</t>
  </si>
  <si>
    <t>届出者が建築主（設置者、築造主を含む。）でない場合</t>
  </si>
  <si>
    <t>【住所】</t>
  </si>
  <si>
    <t>【電話番号】</t>
  </si>
  <si>
    <t>【理由】</t>
  </si>
  <si>
    <t>第７号様式</t>
  </si>
  <si>
    <t>【第１面】</t>
  </si>
  <si>
    <t>【第２面】(1枚目)</t>
  </si>
  <si>
    <t>【第２面】(2枚目)</t>
  </si>
  <si>
    <t>（第１面）</t>
  </si>
  <si>
    <t>【建築主別紙】</t>
  </si>
  <si>
    <t>（変更前</t>
  </si>
  <si>
    <t>　下記のとおり記載事項の変更がありましたので、貴センター確認検査業務規程第26条の規定により、届け出ます。</t>
  </si>
  <si>
    <t>記載事項の変更に係る確認の概要</t>
  </si>
  <si>
    <t>【1.確認】</t>
  </si>
  <si>
    <t>【ｲ.確認済証交付年月日】</t>
  </si>
  <si>
    <t>【ﾛ.確認済証番号】</t>
  </si>
  <si>
    <t>【2.建築物等の敷地の地名地番】（※確認済証記載の地名地番）</t>
  </si>
  <si>
    <t>【3.変更等の概要及び理由】</t>
  </si>
  <si>
    <t>建築主、設置者、築造主又は申請者の変更</t>
  </si>
  <si>
    <t>決定・</t>
  </si>
  <si>
    <t>変更　）</t>
  </si>
  <si>
    <t>工事施工者</t>
  </si>
  <si>
    <t>建築物等の敷地の地名地番の変更</t>
  </si>
  <si>
    <t>（変更後）</t>
  </si>
  <si>
    <t>その他の変更</t>
  </si>
  <si>
    <t>（第２面）</t>
  </si>
  <si>
    <t>変更し、又は新たに定め、届け出る事項</t>
  </si>
  <si>
    <t>登録先（知事無し）</t>
  </si>
  <si>
    <t>登録先</t>
  </si>
  <si>
    <t>1級</t>
  </si>
  <si>
    <t>岩手県</t>
  </si>
  <si>
    <t>国土交通大臣</t>
  </si>
  <si>
    <t>2級</t>
  </si>
  <si>
    <t>北海道</t>
  </si>
  <si>
    <t>建設大臣</t>
  </si>
  <si>
    <t>青森県</t>
  </si>
  <si>
    <t>宮城県</t>
  </si>
  <si>
    <t>秋田県</t>
  </si>
  <si>
    <t>山形県</t>
  </si>
  <si>
    <t>福島県</t>
  </si>
  <si>
    <t>【３.工事監理者】</t>
  </si>
  <si>
    <t>茨城県</t>
  </si>
  <si>
    <t>栃木県</t>
  </si>
  <si>
    <t>群馬県</t>
  </si>
  <si>
    <t>埼玉県</t>
  </si>
  <si>
    <t>千葉県</t>
  </si>
  <si>
    <t>新潟県</t>
  </si>
  <si>
    <t>富山県</t>
  </si>
  <si>
    <t>石川県</t>
  </si>
  <si>
    <t>【ﾄ.工事と照合する設計図書】</t>
  </si>
  <si>
    <t>福井県</t>
  </si>
  <si>
    <t>山梨県</t>
  </si>
  <si>
    <t>（その他の工事監理者１）</t>
  </si>
  <si>
    <t>長野県</t>
  </si>
  <si>
    <t>岐阜県</t>
  </si>
  <si>
    <t>静岡県</t>
  </si>
  <si>
    <t>愛知県</t>
  </si>
  <si>
    <t>三重県</t>
  </si>
  <si>
    <t>滋賀県</t>
  </si>
  <si>
    <t>京都府</t>
  </si>
  <si>
    <t>大阪府</t>
  </si>
  <si>
    <t>兵庫県</t>
  </si>
  <si>
    <t>奈良県</t>
  </si>
  <si>
    <t>和歌山県</t>
  </si>
  <si>
    <t>（その他の工事監理者２）</t>
  </si>
  <si>
    <t>鳥取県</t>
  </si>
  <si>
    <t>島根県</t>
  </si>
  <si>
    <t>岡山県</t>
  </si>
  <si>
    <t>広島県</t>
  </si>
  <si>
    <t>山口県</t>
  </si>
  <si>
    <t>徳島県</t>
  </si>
  <si>
    <t>香川県</t>
  </si>
  <si>
    <t>愛媛県</t>
  </si>
  <si>
    <t>高知県</t>
  </si>
  <si>
    <t>福岡県</t>
  </si>
  <si>
    <t>佐賀県</t>
  </si>
  <si>
    <t>【４.工事施工者】</t>
  </si>
  <si>
    <t>長崎県</t>
  </si>
  <si>
    <t>熊本県</t>
  </si>
  <si>
    <t>大分県</t>
  </si>
  <si>
    <t>宮崎県</t>
  </si>
  <si>
    <t>鹿児島県</t>
  </si>
  <si>
    <t>沖縄県</t>
  </si>
  <si>
    <t>【５.備考】</t>
  </si>
  <si>
    <r>
      <t>（注意）
１　第１面関係
　① 建築主、設置者、築造主又は申請者を変更する場合は、変更前及び変更後の氏名を記入し、
　　押印してください。
　② １欄及び２欄は、確認済証の内容を記載してください。
　③ ３欄は、該当するチェックボックスに「レ」マークを記入してください。
　④ ３欄の建築物等の敷地の地名地番の変更の場合は、変更後の地名地番を記載してください。
２　第２面関係
　①　１欄から４欄までは、届出を行う変更後の項目のみ記入してください。
　②　建築主が２以上のときは、１欄は代表となる建築主について記入し、別紙に他の建築主に
　　ついて必要な事項を記入して添えてください。
　③　２欄及び３欄は、代理者又は工事監理者が建築士事務所に属しているときは、その名称を
　　書き、建築士事務所に属していないときは、所在地はそれぞれ代理者又は工事監理者の住所
　　を書いてください。
　④　３欄は、代表となる工事監理者及び申請に係る建築物に係る他のすべての工事監理者につ
　　いて記入してください。記入欄が不足する場合には、別紙に必要な事項を記入して添えてく
　　ださい。
　⑤　４欄は、工事施工者が２以上のときは、代表となる工事施工者について記入し、別紙に他
　　の工事施工者について棟別に必要な事項を記入して添えてください。
　⑥　１欄から４欄まで以外の記載事項に変更があったときは、変更の内容を５欄に記入してく
　　ださい。
（備考）
　　</t>
    </r>
    <r>
      <rPr>
        <u/>
        <sz val="10"/>
        <color theme="1"/>
        <rFont val="ＭＳ 明朝"/>
        <family val="1"/>
        <charset val="128"/>
      </rPr>
      <t xml:space="preserve">この様式により難いときは、この様式に準じた別の様式を用いることができる。
</t>
    </r>
  </si>
  <si>
    <t>第８号様式</t>
  </si>
  <si>
    <t>　下記の確認について、工事を取りやめたので、貴センター確認検査業務規程第25条第１項の規定により届け出ます。</t>
  </si>
  <si>
    <t>１．確認済証番号</t>
  </si>
  <si>
    <t>２．確認済証交付年月日</t>
  </si>
  <si>
    <t>３．工事取りやめの理由</t>
  </si>
  <si>
    <t>第10号様式</t>
  </si>
  <si>
    <t>に申請しました完了検査申請について、都合により、</t>
  </si>
  <si>
    <t>貴センター確認検査業務規程第32条第１項の規程により取り下げます。</t>
  </si>
  <si>
    <t>第13号様式</t>
  </si>
  <si>
    <t>証　明　願</t>
  </si>
  <si>
    <t>願出者 建築主の氏名</t>
  </si>
  <si>
    <t>連絡先（電話番号）</t>
  </si>
  <si>
    <t>（建築主以外の場合の氏名</t>
  </si>
  <si>
    <t>印)</t>
  </si>
  <si>
    <t>（建築主との関係</t>
  </si>
  <si>
    <t>　)</t>
  </si>
  <si>
    <t>　下記の建築物等について、貴センター確認検査業務規程第47条第１項の規定により確認済証等の記載事項の証明を願い出ます。</t>
  </si>
  <si>
    <t>１．建築物等の確認済証等の交付年月日及び番号</t>
  </si>
  <si>
    <t>(ア)確認済証</t>
  </si>
  <si>
    <t>(イ)検査済証</t>
  </si>
  <si>
    <t>２．建築物等の敷地の地名地番</t>
  </si>
  <si>
    <t>３．証明の種類及び部数</t>
  </si>
  <si>
    <t>部</t>
  </si>
  <si>
    <t>４．証明書の使用目的</t>
  </si>
  <si>
    <t>願出者が、建築主（設置者、築造主を含む。）以外の場合にあっては、願出者の住所、連絡先（電話番号）、氏名及び建築主との関係を記載してください。また、確認済証等の交付年月日、番号等が不明な場合は、窓口で調査して記載してください。</t>
  </si>
  <si>
    <t>【委任状】</t>
  </si>
  <si>
    <t>申請者 氏名</t>
  </si>
  <si>
    <t>（原則、申請者は建築主にしてください。）</t>
  </si>
  <si>
    <t>（住所</t>
  </si>
  <si>
    <t>（連絡先（電話番号）</t>
  </si>
  <si>
    <t>下記の建築物等について再交付を申請します。</t>
  </si>
  <si>
    <t>１．再交付の種類</t>
  </si>
  <si>
    <t>確認済証</t>
  </si>
  <si>
    <t>（※種類にチェックしてください。）</t>
  </si>
  <si>
    <t>３．確認済証の交付日及び番号</t>
  </si>
  <si>
    <t>４．検査済証の交付日及び番号</t>
  </si>
  <si>
    <t>５．再交付の理由（必要とする理由を具体的に記入してください。）</t>
  </si>
  <si>
    <r>
      <t>※ 代理人を通じて申請する場合は、</t>
    </r>
    <r>
      <rPr>
        <u/>
        <sz val="11"/>
        <color indexed="8"/>
        <rFont val="ＭＳ 明朝"/>
        <family val="1"/>
        <charset val="128"/>
      </rPr>
      <t>委任状</t>
    </r>
    <r>
      <rPr>
        <sz val="11"/>
        <color indexed="8"/>
        <rFont val="ＭＳ 明朝"/>
        <family val="1"/>
        <charset val="128"/>
      </rPr>
      <t>を添付してください。</t>
    </r>
  </si>
  <si>
    <r>
      <t>※ 再交付は、</t>
    </r>
    <r>
      <rPr>
        <u/>
        <sz val="11"/>
        <color indexed="8"/>
        <rFont val="ＭＳ 明朝"/>
        <family val="1"/>
        <charset val="128"/>
      </rPr>
      <t>平成28年10月1日以降の交付物件</t>
    </r>
    <r>
      <rPr>
        <sz val="11"/>
        <color indexed="8"/>
        <rFont val="ＭＳ 明朝"/>
        <family val="1"/>
        <charset val="128"/>
      </rPr>
      <t>となります。（「再発行」と記載し1部のみ）</t>
    </r>
  </si>
  <si>
    <t>センター記入欄</t>
  </si>
  <si>
    <t>□本人　□委任状（窓口に持参した人の確認（□運転免許証等））　□手数料</t>
  </si>
  <si>
    <t>受付年月日</t>
  </si>
  <si>
    <t>決裁欄</t>
  </si>
  <si>
    <t>局長</t>
  </si>
  <si>
    <t>室長</t>
  </si>
  <si>
    <t>次長</t>
  </si>
  <si>
    <t>担当者</t>
  </si>
  <si>
    <t>決裁年月日</t>
  </si>
  <si>
    <t>公印承認</t>
  </si>
  <si>
    <t>発送年月日</t>
  </si>
  <si>
    <t>通数（　）</t>
  </si>
  <si>
    <t>確認済証・検査済証　再交付申請</t>
  </si>
  <si>
    <t>cst_wskakunin_owner3__space2</t>
  </si>
  <si>
    <t>cst_wskakunin_owner4__space2</t>
  </si>
  <si>
    <t>③予定建築物用途</t>
  </si>
  <si>
    <t>11.</t>
  </si>
  <si>
    <t>第10条　区分</t>
  </si>
  <si>
    <t>**wskakunin_p4_1_TOKUREI_1</t>
  </si>
  <si>
    <t>**wskakunin_p4_1_TOKUREI_2</t>
  </si>
  <si>
    <t>**wskakunin_p4_1_TOKUREI_3</t>
  </si>
  <si>
    <t>**wskakunin_p4_1_TOKUREI_4</t>
  </si>
  <si>
    <t>cst_wskakunin_p4_1_TOKUREI</t>
  </si>
  <si>
    <t>リスト_2</t>
  </si>
  <si>
    <t>郵送申請_確認申請・適合証明設計検査</t>
  </si>
  <si>
    <t>郵送申請_計画変更</t>
  </si>
  <si>
    <t>事前協議</t>
  </si>
  <si>
    <t>免除申請_確認・計変</t>
  </si>
  <si>
    <t>郵送申請_完了</t>
  </si>
  <si>
    <t>検査予約票</t>
  </si>
  <si>
    <t>免除申請_完了</t>
  </si>
  <si>
    <t>再交付申請書</t>
  </si>
  <si>
    <t>その他届出</t>
  </si>
  <si>
    <t>元号変更対応</t>
  </si>
  <si>
    <t>構造設計一級建築士交付番号のセル名修正</t>
  </si>
  <si>
    <t>徳永</t>
  </si>
  <si>
    <t>DATAシートに入力されている文字を削除</t>
  </si>
  <si>
    <t>4/27の修正依頼に対応</t>
  </si>
  <si>
    <t>完了検査申請書のリンク先修正</t>
  </si>
  <si>
    <t>DATAシート差し替え、日付表示を変更</t>
  </si>
  <si>
    <t>寺田</t>
  </si>
  <si>
    <t>dSHEET修正（不要列を削除）</t>
  </si>
  <si>
    <t>dSHEET　-2になるように設定</t>
  </si>
  <si>
    <t>会社情報 履歴</t>
  </si>
  <si>
    <t>状態</t>
  </si>
  <si>
    <t>履歴</t>
  </si>
  <si>
    <t>開始日</t>
  </si>
  <si>
    <t>会社タイプ</t>
  </si>
  <si>
    <t>代表者名</t>
  </si>
  <si>
    <t>会社名表記名</t>
  </si>
  <si>
    <t>誕生日</t>
  </si>
  <si>
    <t>理事長　　福 井 正 明</t>
  </si>
  <si>
    <t>理事長　　金 田 義 徳</t>
  </si>
  <si>
    <t>理事長　　渡 邊 健 治</t>
  </si>
  <si>
    <t>帳票情報</t>
  </si>
  <si>
    <t>採用情報</t>
  </si>
  <si>
    <t>帳票名</t>
  </si>
  <si>
    <t>Ctrl</t>
  </si>
  <si>
    <t>検査結果</t>
  </si>
  <si>
    <t>会社名２</t>
  </si>
  <si>
    <t>代表者変更対応（2021/6/25～）</t>
  </si>
  <si>
    <t>代表者切替日を6/28～に変更</t>
  </si>
  <si>
    <t>【4.変更等理由】</t>
  </si>
  <si>
    <t>第四十号様式（第八条関係）</t>
  </si>
  <si>
    <t>2022/</t>
  </si>
  <si>
    <t>【第二面】</t>
  </si>
  <si>
    <t>第Ｒ　-1-　　　　　-0号</t>
  </si>
  <si>
    <t>【１.着工及び工事完了の予定期日】</t>
  </si>
  <si>
    <t>【ｲ.着工予定期日】</t>
  </si>
  <si>
    <t>【ﾛ.工事完了予定期日】</t>
  </si>
  <si>
    <t>【２.建築主】</t>
  </si>
  <si>
    <t>【ｲ.建築主の種別】</t>
  </si>
  <si>
    <t>【ﾛ.資本の額又は出資の総額】</t>
  </si>
  <si>
    <t>(1)1,000万円以下</t>
  </si>
  <si>
    <t>(2)1,000万円超～3,000万円以下</t>
  </si>
  <si>
    <t>(3)3,000万円超～1憶円以下</t>
  </si>
  <si>
    <t>(4)1億円超～10億円以下</t>
  </si>
  <si>
    <t>(5)10億円超</t>
  </si>
  <si>
    <t>【３.敷地の位置】</t>
  </si>
  <si>
    <t>下線部クリック‼　【リスト_2】シートに飛びます</t>
  </si>
  <si>
    <t>多用途</t>
  </si>
  <si>
    <t>(2)鉄骨鉄筋ｺﾝｸﾘｰﾄ造</t>
  </si>
  <si>
    <t>(3)鉄筋ｺﾝｸﾘｰﾄ造</t>
  </si>
  <si>
    <t>(5)ｺﾝｸﾘｰﾄﾌﾞﾛｯｸ造</t>
  </si>
  <si>
    <t>【ﾆ.工事の予定期間】</t>
  </si>
  <si>
    <t>月間）</t>
  </si>
  <si>
    <t>【ﾎ.工事部分の床面積の合計】</t>
  </si>
  <si>
    <t>【ﾍ.建築工事費予定額】</t>
  </si>
  <si>
    <t>【ﾄ.新築工事の場合における地上の階数】</t>
  </si>
  <si>
    <t>【ﾁ.新築工事の場合における地下の階数】</t>
  </si>
  <si>
    <t>【ﾛ.新設又はその他の別】</t>
  </si>
  <si>
    <t>(1)新　設（</t>
  </si>
  <si>
    <t>改築　）</t>
  </si>
  <si>
    <t>(2)その他（</t>
  </si>
  <si>
    <t>【ﾊ.新設住宅の資金】</t>
  </si>
  <si>
    <t>(1)民間資金住宅</t>
  </si>
  <si>
    <t>(2)公営住宅</t>
  </si>
  <si>
    <t>(3)住宅金融支援機構住宅</t>
  </si>
  <si>
    <t>(4)都市再生機構住宅</t>
  </si>
  <si>
    <t>【ﾆ.住宅の建築工法】</t>
  </si>
  <si>
    <t>【ﾎ.住宅の種類】</t>
  </si>
  <si>
    <t>(1)専用住宅</t>
  </si>
  <si>
    <t>(2)併用住宅</t>
  </si>
  <si>
    <t>(3)その他の住宅</t>
  </si>
  <si>
    <t>【ﾍ.住宅の建て方】</t>
  </si>
  <si>
    <t>(1)一戸建住宅</t>
  </si>
  <si>
    <t>(2)長屋建住宅</t>
  </si>
  <si>
    <t>(3)共同住宅</t>
  </si>
  <si>
    <t>【ﾄ.利用関係】</t>
  </si>
  <si>
    <t>【ﾁ.住宅の戸数】</t>
  </si>
  <si>
    <t>戸)</t>
  </si>
  <si>
    <t>【ﾘ.工事部分の床面積の合計】</t>
  </si>
  <si>
    <t>㎡)</t>
  </si>
  <si>
    <t>【３.構造】</t>
  </si>
  <si>
    <t>戸</t>
  </si>
  <si>
    <t>千円</t>
  </si>
  <si>
    <t>届出関係帳票　修正、工事届　法改正対応</t>
  </si>
  <si>
    <t>cst_koujikikan_month</t>
  </si>
  <si>
    <t>【２.除却原因】</t>
  </si>
  <si>
    <t>記載事項変更等届_一括</t>
  </si>
  <si>
    <t>工事取りやめ届_一括</t>
  </si>
  <si>
    <t>完了検査申請取下届_一括</t>
  </si>
  <si>
    <t>修正依頼分（2022/3/15）</t>
  </si>
  <si>
    <t>dAName</t>
  </si>
  <si>
    <t>入力のルール_一括</t>
  </si>
  <si>
    <t>　→　すべての様式をまとめた、「一括DLその他届」でご利用可能</t>
  </si>
  <si>
    <t>工事届_一括</t>
  </si>
  <si>
    <t>令和　年　月　日</t>
  </si>
  <si>
    <t>リスト_2_一括</t>
  </si>
  <si>
    <t>確認申請取下届_一括</t>
  </si>
  <si>
    <t>検査予約票_一括</t>
  </si>
  <si>
    <t>検査予約票　単独出力追加</t>
  </si>
  <si>
    <t>検査予約票　ENTER→TABにコメント変更</t>
  </si>
  <si>
    <t>第２号様式</t>
  </si>
  <si>
    <t>現 地 調 査 票</t>
  </si>
  <si>
    <t>作成日</t>
  </si>
  <si>
    <t>R</t>
  </si>
  <si>
    <t>※申請に係る敷地に関する次の事項について、市町村等の担当部署に確認のうえ、その結果を記載してください。</t>
  </si>
  <si>
    <t>　　（該当する□欄にレ点を入れ、必要箇所に記入してください。＊「書き方チェックポイント現地調査票編」を参照ください。）</t>
  </si>
  <si>
    <t>敷地の地名・地番</t>
  </si>
  <si>
    <t>都市計画区域</t>
  </si>
  <si>
    <t>内</t>
  </si>
  <si>
    <t>未設定</t>
  </si>
  <si>
    <t>外</t>
  </si>
  <si>
    <t>更新履歴（現地調査票）</t>
  </si>
  <si>
    <t>一種低層(</t>
  </si>
  <si>
    <t>／</t>
  </si>
  <si>
    <t>【外壁後退</t>
  </si>
  <si>
    <t>有</t>
  </si>
  <si>
    <t>ｍ</t>
  </si>
  <si>
    <t>無</t>
  </si>
  <si>
    <t>】</t>
  </si>
  <si>
    <t>※絶対高さ10ｍ</t>
  </si>
  <si>
    <t>（指定容積率/指定建蔽率）</t>
  </si>
  <si>
    <t>二種低層(</t>
  </si>
  <si>
    <t>変更（法改正等による変更）</t>
  </si>
  <si>
    <t>一種中高層(</t>
  </si>
  <si>
    <t>準住居  (</t>
  </si>
  <si>
    <t>準工業  (</t>
  </si>
  <si>
    <t>・用途地域に”田園住居”を追加</t>
  </si>
  <si>
    <t>二種中高層(</t>
  </si>
  <si>
    <t>田園住居(</t>
  </si>
  <si>
    <t>工業　　(</t>
  </si>
  <si>
    <t>・その他の地区等に”被災市街地復興推進地域”　を追加</t>
  </si>
  <si>
    <t>一種住居(</t>
  </si>
  <si>
    <t>近隣商業(</t>
  </si>
  <si>
    <t>工業専用(</t>
  </si>
  <si>
    <t>・道路関係”法第43条2項”に訂正し、”認定済み”を追加</t>
  </si>
  <si>
    <t>二種住居(</t>
  </si>
  <si>
    <t>商業    (</t>
  </si>
  <si>
    <t>指定なし(</t>
  </si>
  <si>
    <t>変更（盛岡市他法令調査票任意添付に伴う、項目精査）</t>
  </si>
  <si>
    <t>防火地域等</t>
  </si>
  <si>
    <t>・用途地域の順番変更、絶対高さの明示</t>
  </si>
  <si>
    <t>その他の地区等</t>
  </si>
  <si>
    <t>風致地区</t>
  </si>
  <si>
    <t>【</t>
  </si>
  <si>
    <t>・4号、5号道路の指定日の入力方法を変更（記載内容の変更なし）</t>
  </si>
  <si>
    <t>特別用途地区</t>
  </si>
  <si>
    <t>・狭あい道路要綱該当有りの項目追加</t>
  </si>
  <si>
    <t>特定用途制限地域</t>
  </si>
  <si>
    <t>高度利用地区</t>
  </si>
  <si>
    <t>景観地区</t>
  </si>
  <si>
    <t>・土砂災害イエローゾーンの追加</t>
  </si>
  <si>
    <t>臨港地区</t>
  </si>
  <si>
    <t>流通業務地区</t>
  </si>
  <si>
    <t>・屋外広告物規制区域の追加</t>
  </si>
  <si>
    <t>伝統的建造物保存地区</t>
  </si>
  <si>
    <t>被災市街地復興推進地域</t>
  </si>
  <si>
    <t>・駐車場整備地区を、その他の地区等から削除し、下段へ移動</t>
  </si>
  <si>
    <t>・その他関係法令をチェック方式に変更、内容の見直し</t>
  </si>
  <si>
    <t>地区計画</t>
  </si>
  <si>
    <t>有　【地区名：</t>
  </si>
  <si>
    <t>】　（手続き：</t>
  </si>
  <si>
    <t>済</t>
  </si>
  <si>
    <t>未</t>
  </si>
  <si>
    <t>開発許可関係</t>
  </si>
  <si>
    <t>要</t>
  </si>
  <si>
    <t>許可済</t>
  </si>
  <si>
    <t>不要</t>
  </si>
  <si>
    <t>都計法第29条</t>
  </si>
  <si>
    <t>都計法第34条の2</t>
  </si>
  <si>
    <t>都計法第35条の2</t>
  </si>
  <si>
    <t>都計法第37条</t>
  </si>
  <si>
    <t>都計法第41条</t>
  </si>
  <si>
    <t>都計法第42条</t>
  </si>
  <si>
    <t>都計法第43条</t>
  </si>
  <si>
    <t>都計法施行規則第60条証明</t>
  </si>
  <si>
    <t>都市計画法第53条</t>
  </si>
  <si>
    <t>土地区画整理法第76条</t>
  </si>
  <si>
    <t>道路関係</t>
  </si>
  <si>
    <t>法第42条第1項第1号～第3号</t>
  </si>
  <si>
    <t>・幅員確認方法</t>
  </si>
  <si>
    <t>・道路種別</t>
  </si>
  <si>
    <t>実測</t>
  </si>
  <si>
    <t>台帳</t>
  </si>
  <si>
    <t>・現況幅員</t>
  </si>
  <si>
    <t>法第42条第1項第4号、第5号</t>
  </si>
  <si>
    <t>・道路法第24、32条等</t>
  </si>
  <si>
    <t>・指定幅員</t>
  </si>
  <si>
    <t>年　　月　　日</t>
  </si>
  <si>
    <t>法第42条第2項</t>
  </si>
  <si>
    <t>・狭あい道路(要綱)該当</t>
  </si>
  <si>
    <t>協議済</t>
  </si>
  <si>
    <t>協議不要 ）</t>
  </si>
  <si>
    <t>法第43条2項</t>
  </si>
  <si>
    <t>認定済</t>
  </si>
  <si>
    <t>下水道</t>
  </si>
  <si>
    <t>区域内</t>
  </si>
  <si>
    <t>処理開始（</t>
  </si>
  <si>
    <t>(公共、集落排水区域）</t>
  </si>
  <si>
    <t>浄化槽</t>
  </si>
  <si>
    <t>個人設置</t>
  </si>
  <si>
    <t>公設</t>
  </si>
  <si>
    <t>汲み取り</t>
  </si>
  <si>
    <t>便所なし</t>
  </si>
  <si>
    <t>宅地造成工事規制区域</t>
  </si>
  <si>
    <t>造成有</t>
  </si>
  <si>
    <t>許可未</t>
  </si>
  <si>
    <t>造成無</t>
  </si>
  <si>
    <t>土砂災害特別警戒区域</t>
  </si>
  <si>
    <t>区域内に居室有り・告示検討済</t>
  </si>
  <si>
    <t>区域内に居室無し</t>
  </si>
  <si>
    <t>ﾚｯﾄﾞ</t>
  </si>
  <si>
    <t>土砂災害警戒区域</t>
  </si>
  <si>
    <t>ｲｴﾛｰ</t>
  </si>
  <si>
    <t>急傾斜地崩壊危険区域</t>
  </si>
  <si>
    <t>災害危険区域</t>
  </si>
  <si>
    <t>県条例第6条(がけ)の検討</t>
  </si>
  <si>
    <t>建築協定区域</t>
  </si>
  <si>
    <t>提出済</t>
  </si>
  <si>
    <t>屋外広告物規制区域</t>
  </si>
  <si>
    <t>適用除外</t>
  </si>
  <si>
    <t>駐車場条例に該当</t>
  </si>
  <si>
    <t>整備地区</t>
  </si>
  <si>
    <t>周辺地域</t>
  </si>
  <si>
    <t>その他の関係法令</t>
  </si>
  <si>
    <t>※該当する場合は、チェックし、所管行政庁等で手続きを行ってください。</t>
  </si>
  <si>
    <t>バリアフリー法</t>
  </si>
  <si>
    <t>ひとにやさしいまちづくり条例</t>
  </si>
  <si>
    <t>埋蔵文化財</t>
  </si>
  <si>
    <t>景観条例</t>
  </si>
  <si>
    <t>省エネ法</t>
  </si>
  <si>
    <t>リサイクル法</t>
  </si>
  <si>
    <t>立地適正化計画</t>
  </si>
  <si>
    <t>農地転用</t>
  </si>
  <si>
    <t>出水等の恐れ</t>
  </si>
  <si>
    <t>河川区域</t>
  </si>
  <si>
    <t>水路境界</t>
  </si>
  <si>
    <t>ラブホテル条例</t>
  </si>
  <si>
    <t>中高層建築条例</t>
  </si>
  <si>
    <t>（看板設置済　周知期間</t>
  </si>
  <si>
    <t>年　月　日</t>
  </si>
  <si>
    <t>～</t>
  </si>
  <si>
    <t>※相談・打ち合わせ・確認等を行った年月日、市町村等、担当課等</t>
  </si>
  <si>
    <t>調査年月日</t>
  </si>
  <si>
    <t>市 町 村 等</t>
  </si>
  <si>
    <t>担 当 課 等</t>
  </si>
  <si>
    <t>備 考</t>
  </si>
  <si>
    <t>都市計画関係</t>
  </si>
  <si>
    <t>現地調査票_一括</t>
  </si>
  <si>
    <t>現地調査票　差し替え</t>
  </si>
  <si>
    <t>法改正対応</t>
  </si>
  <si>
    <t>**wskakunin_KENTIKU_MENSEKI_ZENTAI_SHINSEI</t>
  </si>
  <si>
    <t>cst_wskakunin_KENTIKU_MENSEKI_ZENTAI_SHINSEI</t>
  </si>
  <si>
    <t>**wskakunin_KENTIKU_MENSEKI_ZENTAI_IGAI</t>
  </si>
  <si>
    <t>cst_wskakunin_KENTIKU_MENSEKI_ZENTAI_IGAI</t>
  </si>
  <si>
    <t>**wskakunin_KENTIKU_MENSEKI_ZENTAI_TOTAL</t>
  </si>
  <si>
    <t>cst_wskakunin_KENTIKU_MENSEKI_ZENTAI_TOTAL</t>
  </si>
  <si>
    <t>建築面積</t>
  </si>
  <si>
    <t>申請様式</t>
  </si>
  <si>
    <t>**wsjob_JOB_INPUT_VERSION</t>
  </si>
  <si>
    <t>cst_wsjob_JOB_INPUT_VERSION</t>
  </si>
  <si>
    <t>1＝「2020年3月まで」、2＝「2020年4月」、3＝「2020年9月」
4＝「2021年1月」、5＝「2022年4月」、6＝「2023年4月」</t>
  </si>
  <si>
    <t>練習用</t>
  </si>
  <si>
    <t>0</t>
  </si>
  <si>
    <t>一般財団法人 岩手県建築住宅センター</t>
  </si>
  <si>
    <t>第</t>
    <rPh sb="0" eb="1">
      <t>ダイ</t>
    </rPh>
    <phoneticPr fontId="139"/>
  </si>
  <si>
    <t>号</t>
    <rPh sb="0" eb="1">
      <t>ゴウ</t>
    </rPh>
    <phoneticPr fontId="139"/>
  </si>
  <si>
    <t>確認検査</t>
    <rPh sb="0" eb="2">
      <t>カクニン</t>
    </rPh>
    <rPh sb="2" eb="4">
      <t>ケンサ</t>
    </rPh>
    <phoneticPr fontId="139"/>
  </si>
  <si>
    <t>瑕疵保険</t>
    <rPh sb="0" eb="4">
      <t>カシホケン</t>
    </rPh>
    <phoneticPr fontId="139"/>
  </si>
  <si>
    <t>適合証明</t>
    <rPh sb="0" eb="2">
      <t>テキゴウ</t>
    </rPh>
    <rPh sb="2" eb="4">
      <t>ショウメイ</t>
    </rPh>
    <phoneticPr fontId="139"/>
  </si>
  <si>
    <t>建築物</t>
    <rPh sb="0" eb="3">
      <t>ケンチクブツ</t>
    </rPh>
    <phoneticPr fontId="139"/>
  </si>
  <si>
    <t>工作物</t>
    <rPh sb="0" eb="3">
      <t>コウサクブツ</t>
    </rPh>
    <phoneticPr fontId="139"/>
  </si>
  <si>
    <t>昇降機</t>
    <rPh sb="0" eb="3">
      <t>ショウコウキ</t>
    </rPh>
    <phoneticPr fontId="139"/>
  </si>
  <si>
    <t>建設評価</t>
    <rPh sb="0" eb="2">
      <t>ケンセツ</t>
    </rPh>
    <rPh sb="2" eb="4">
      <t>ヒョウカ</t>
    </rPh>
    <phoneticPr fontId="139"/>
  </si>
  <si>
    <t>中間検査</t>
    <rPh sb="0" eb="2">
      <t>チュウカン</t>
    </rPh>
    <rPh sb="2" eb="4">
      <t>ケンサ</t>
    </rPh>
    <phoneticPr fontId="139"/>
  </si>
  <si>
    <t>完了検査</t>
    <rPh sb="0" eb="2">
      <t>カンリョウ</t>
    </rPh>
    <rPh sb="2" eb="4">
      <t>ケンサ</t>
    </rPh>
    <phoneticPr fontId="139"/>
  </si>
  <si>
    <t>検査引受番号</t>
    <rPh sb="0" eb="2">
      <t>ケンサ</t>
    </rPh>
    <rPh sb="2" eb="4">
      <t>ヒキウケ</t>
    </rPh>
    <rPh sb="4" eb="6">
      <t>バンゴウ</t>
    </rPh>
    <phoneticPr fontId="139"/>
  </si>
  <si>
    <t>検査員</t>
    <rPh sb="0" eb="3">
      <t>ケンサイン</t>
    </rPh>
    <phoneticPr fontId="139"/>
  </si>
  <si>
    <t>依頼番号</t>
    <rPh sb="0" eb="2">
      <t>イライ</t>
    </rPh>
    <rPh sb="2" eb="4">
      <t>バンゴウ</t>
    </rPh>
    <phoneticPr fontId="139"/>
  </si>
  <si>
    <t>代理者</t>
    <rPh sb="0" eb="3">
      <t>ダイリシャ</t>
    </rPh>
    <phoneticPr fontId="139"/>
  </si>
  <si>
    <t>設計者</t>
    <rPh sb="0" eb="3">
      <t>セッケイシャ</t>
    </rPh>
    <phoneticPr fontId="139"/>
  </si>
  <si>
    <t>施工者</t>
    <rPh sb="0" eb="3">
      <t>セコウシャ</t>
    </rPh>
    <phoneticPr fontId="139"/>
  </si>
  <si>
    <t>新築</t>
    <rPh sb="0" eb="2">
      <t>シンチク</t>
    </rPh>
    <phoneticPr fontId="139"/>
  </si>
  <si>
    <t>リフォーム</t>
    <phoneticPr fontId="139"/>
  </si>
  <si>
    <t>中古</t>
    <rPh sb="0" eb="2">
      <t>チュウコ</t>
    </rPh>
    <phoneticPr fontId="139"/>
  </si>
  <si>
    <t>賃貸</t>
    <rPh sb="0" eb="2">
      <t>チンタイ</t>
    </rPh>
    <phoneticPr fontId="139"/>
  </si>
  <si>
    <t>（計</t>
    <rPh sb="1" eb="2">
      <t>ケイ</t>
    </rPh>
    <phoneticPr fontId="139"/>
  </si>
  <si>
    <t>依頼日</t>
    <rPh sb="0" eb="2">
      <t>イライ</t>
    </rPh>
    <rPh sb="2" eb="3">
      <t>ヒ</t>
    </rPh>
    <phoneticPr fontId="139"/>
  </si>
  <si>
    <t>仮使用認定（現場検査）</t>
    <rPh sb="0" eb="3">
      <t>カリシヨウ</t>
    </rPh>
    <rPh sb="3" eb="5">
      <t>ニンテイ</t>
    </rPh>
    <rPh sb="6" eb="8">
      <t>ゲンバ</t>
    </rPh>
    <rPh sb="8" eb="10">
      <t>ケンサ</t>
    </rPh>
    <phoneticPr fontId="139"/>
  </si>
  <si>
    <t>まもりす検査</t>
    <rPh sb="4" eb="6">
      <t>ケンサ</t>
    </rPh>
    <phoneticPr fontId="139"/>
  </si>
  <si>
    <t>あんしん検査</t>
    <rPh sb="4" eb="6">
      <t>ケンサ</t>
    </rPh>
    <phoneticPr fontId="139"/>
  </si>
  <si>
    <t>基礎配筋工事の完了時</t>
    <phoneticPr fontId="139"/>
  </si>
  <si>
    <t>躯体工事の完了時</t>
    <phoneticPr fontId="139"/>
  </si>
  <si>
    <t>内装下張り直前工事の完了時</t>
    <phoneticPr fontId="139"/>
  </si>
  <si>
    <t>竣工時</t>
  </si>
  <si>
    <t>2階</t>
    <rPh sb="1" eb="2">
      <t>カイ</t>
    </rPh>
    <phoneticPr fontId="139"/>
  </si>
  <si>
    <t>中間階</t>
    <rPh sb="0" eb="3">
      <t>チュウカンカイ</t>
    </rPh>
    <phoneticPr fontId="139"/>
  </si>
  <si>
    <t>1回目</t>
    <rPh sb="1" eb="3">
      <t>カイメ</t>
    </rPh>
    <phoneticPr fontId="139"/>
  </si>
  <si>
    <t>2回目</t>
    <rPh sb="1" eb="3">
      <t>カイメ</t>
    </rPh>
    <phoneticPr fontId="139"/>
  </si>
  <si>
    <t>階数が3以下</t>
    <rPh sb="0" eb="2">
      <t>カイスウ</t>
    </rPh>
    <rPh sb="4" eb="6">
      <t>イカ</t>
    </rPh>
    <phoneticPr fontId="139"/>
  </si>
  <si>
    <t>階数が4以上</t>
    <rPh sb="0" eb="2">
      <t>カイスウ</t>
    </rPh>
    <rPh sb="4" eb="6">
      <t>イジョウ</t>
    </rPh>
    <phoneticPr fontId="139"/>
  </si>
  <si>
    <t>屋根工事の完了時</t>
    <rPh sb="0" eb="2">
      <t>ヤネ</t>
    </rPh>
    <rPh sb="2" eb="4">
      <t>コウジ</t>
    </rPh>
    <rPh sb="5" eb="8">
      <t>カンリョウジ</t>
    </rPh>
    <phoneticPr fontId="139"/>
  </si>
  <si>
    <t>回目</t>
    <rPh sb="0" eb="2">
      <t>カイメ</t>
    </rPh>
    <phoneticPr fontId="139"/>
  </si>
  <si>
    <t>※瑕疵保険の現場検査</t>
    <rPh sb="1" eb="5">
      <t>カシホケン</t>
    </rPh>
    <rPh sb="6" eb="8">
      <t>ゲンバ</t>
    </rPh>
    <rPh sb="8" eb="10">
      <t>ケンサ</t>
    </rPh>
    <phoneticPr fontId="139"/>
  </si>
  <si>
    <t>※基準法の中間検査</t>
    <rPh sb="1" eb="4">
      <t>キジュンホウ</t>
    </rPh>
    <rPh sb="5" eb="9">
      <t>チュウカンケンサ</t>
    </rPh>
    <phoneticPr fontId="139"/>
  </si>
  <si>
    <t>センターで以下の検査を実施</t>
    <rPh sb="5" eb="7">
      <t>イカ</t>
    </rPh>
    <rPh sb="8" eb="10">
      <t>ケンサ</t>
    </rPh>
    <rPh sb="11" eb="13">
      <t>ジッシ</t>
    </rPh>
    <phoneticPr fontId="139"/>
  </si>
  <si>
    <t>住宅性能証明</t>
    <rPh sb="0" eb="2">
      <t>ジュウタク</t>
    </rPh>
    <rPh sb="2" eb="4">
      <t>セイノウ</t>
    </rPh>
    <rPh sb="4" eb="6">
      <t>ショウメイ</t>
    </rPh>
    <phoneticPr fontId="139"/>
  </si>
  <si>
    <t>躯体工事の完了時（構造で異なる）</t>
    <rPh sb="9" eb="11">
      <t>コウゾウ</t>
    </rPh>
    <rPh sb="12" eb="13">
      <t>コト</t>
    </rPh>
    <phoneticPr fontId="139"/>
  </si>
  <si>
    <t>フラット35中間検査</t>
    <rPh sb="6" eb="8">
      <t>チュウカン</t>
    </rPh>
    <rPh sb="8" eb="10">
      <t>ケンサ</t>
    </rPh>
    <phoneticPr fontId="139"/>
  </si>
  <si>
    <t>フラット35竣工検査</t>
    <rPh sb="6" eb="8">
      <t>シュンコウ</t>
    </rPh>
    <rPh sb="8" eb="10">
      <t>ケンサ</t>
    </rPh>
    <phoneticPr fontId="139"/>
  </si>
  <si>
    <t>竣工済特例（現場検査）</t>
    <rPh sb="0" eb="2">
      <t>シュンコウ</t>
    </rPh>
    <rPh sb="2" eb="3">
      <t>ズ</t>
    </rPh>
    <rPh sb="3" eb="5">
      <t>トクレイ</t>
    </rPh>
    <rPh sb="6" eb="8">
      <t>ゲンバ</t>
    </rPh>
    <rPh sb="8" eb="10">
      <t>ケンサ</t>
    </rPh>
    <phoneticPr fontId="139"/>
  </si>
  <si>
    <t>（化学物質濃度測定）</t>
  </si>
  <si>
    <t>内装仕上げ工事完了後</t>
    <phoneticPr fontId="139"/>
  </si>
  <si>
    <t>※フラット中間検査</t>
    <rPh sb="5" eb="7">
      <t>チュウカン</t>
    </rPh>
    <rPh sb="7" eb="9">
      <t>ケンサ</t>
    </rPh>
    <phoneticPr fontId="139"/>
  </si>
  <si>
    <t>※フラット竣工検査</t>
    <rPh sb="5" eb="7">
      <t>シュンコウ</t>
    </rPh>
    <rPh sb="7" eb="9">
      <t>ケンサ</t>
    </rPh>
    <phoneticPr fontId="139"/>
  </si>
  <si>
    <t>監理者</t>
    <rPh sb="0" eb="3">
      <t>カンリシャ</t>
    </rPh>
    <phoneticPr fontId="139"/>
  </si>
  <si>
    <t>会社名</t>
    <rPh sb="0" eb="3">
      <t>カイシャメイシャメイ</t>
    </rPh>
    <phoneticPr fontId="139"/>
  </si>
  <si>
    <t>氏　名</t>
    <rPh sb="0" eb="1">
      <t>シ</t>
    </rPh>
    <rPh sb="2" eb="3">
      <t>ナ</t>
    </rPh>
    <phoneticPr fontId="139"/>
  </si>
  <si>
    <t>アドレス</t>
    <phoneticPr fontId="139"/>
  </si>
  <si>
    <t>割引なし</t>
    <rPh sb="0" eb="2">
      <t>ワリビキ</t>
    </rPh>
    <phoneticPr fontId="139"/>
  </si>
  <si>
    <t>住宅性能証明書発行業務</t>
    <phoneticPr fontId="139"/>
  </si>
  <si>
    <t>BELS評価業務</t>
    <phoneticPr fontId="139"/>
  </si>
  <si>
    <t>低炭素建築物新築等計画に係る技術的審査業務</t>
    <phoneticPr fontId="139"/>
  </si>
  <si>
    <t>住宅省エネルギー性能証明書の発行業務</t>
    <phoneticPr fontId="139"/>
  </si>
  <si>
    <t>住宅性能評価業務</t>
    <phoneticPr fontId="139"/>
  </si>
  <si>
    <t>住宅性能評価業務（長期使用構造等確認）</t>
    <phoneticPr fontId="139"/>
  </si>
  <si>
    <t>1.</t>
    <phoneticPr fontId="139"/>
  </si>
  <si>
    <t>2.</t>
    <phoneticPr fontId="139"/>
  </si>
  <si>
    <t>3.</t>
    <phoneticPr fontId="139"/>
  </si>
  <si>
    <t>4.</t>
    <phoneticPr fontId="139"/>
  </si>
  <si>
    <t>5.</t>
    <phoneticPr fontId="139"/>
  </si>
  <si>
    <t>6.</t>
    <phoneticPr fontId="139"/>
  </si>
  <si>
    <t>7.</t>
    <phoneticPr fontId="139"/>
  </si>
  <si>
    <t>号（直前の中間番号を記入）</t>
    <rPh sb="0" eb="1">
      <t>ゴウ</t>
    </rPh>
    <rPh sb="2" eb="4">
      <t>チョクゼン</t>
    </rPh>
    <rPh sb="5" eb="7">
      <t>チュウカン</t>
    </rPh>
    <rPh sb="7" eb="9">
      <t>バンゴウ</t>
    </rPh>
    <rPh sb="10" eb="12">
      <t>キニュウ</t>
    </rPh>
    <phoneticPr fontId="139"/>
  </si>
  <si>
    <t>評価等併願（－2,000円）</t>
    <rPh sb="0" eb="3">
      <t>ヒョウカトウ</t>
    </rPh>
    <rPh sb="3" eb="5">
      <t>ヘイガン</t>
    </rPh>
    <rPh sb="12" eb="13">
      <t>エン</t>
    </rPh>
    <phoneticPr fontId="139"/>
  </si>
  <si>
    <t>中間検査有（－2,000円）</t>
    <rPh sb="0" eb="2">
      <t>チュウカン</t>
    </rPh>
    <rPh sb="2" eb="4">
      <t>ケンサ</t>
    </rPh>
    <rPh sb="4" eb="5">
      <t>アリ</t>
    </rPh>
    <phoneticPr fontId="139"/>
  </si>
  <si>
    <t>基準法の中間検査の対象物件で、確認検査業務の一連申請をすべてセンターに申請した場合</t>
    <rPh sb="15" eb="17">
      <t>カクニン</t>
    </rPh>
    <rPh sb="17" eb="19">
      <t>ケンサ</t>
    </rPh>
    <rPh sb="19" eb="21">
      <t>ギョウム</t>
    </rPh>
    <phoneticPr fontId="139"/>
  </si>
  <si>
    <t>瑕疵保険がまもりすまい保険で、確認検査業務の一連申請をすべてセンターに申請した場合</t>
    <rPh sb="15" eb="17">
      <t>カクニン</t>
    </rPh>
    <rPh sb="17" eb="19">
      <t>ケンサ</t>
    </rPh>
    <rPh sb="19" eb="21">
      <t>ギョウム</t>
    </rPh>
    <rPh sb="22" eb="24">
      <t>イチレン</t>
    </rPh>
    <rPh sb="24" eb="26">
      <t>シンセイ</t>
    </rPh>
    <rPh sb="35" eb="37">
      <t>シンセイ</t>
    </rPh>
    <rPh sb="39" eb="41">
      <t>バアイ</t>
    </rPh>
    <phoneticPr fontId="139"/>
  </si>
  <si>
    <t>号（以下の通知書等の番号を記入）</t>
    <rPh sb="0" eb="1">
      <t>ゴウ</t>
    </rPh>
    <rPh sb="2" eb="4">
      <t>イカ</t>
    </rPh>
    <rPh sb="5" eb="9">
      <t>ツウチショトウ</t>
    </rPh>
    <rPh sb="10" eb="12">
      <t>バンゴウ</t>
    </rPh>
    <rPh sb="13" eb="15">
      <t>キニュウ</t>
    </rPh>
    <phoneticPr fontId="139"/>
  </si>
  <si>
    <t>まもりす検査有（－5,000円）</t>
    <rPh sb="4" eb="6">
      <t>ケンサ</t>
    </rPh>
    <rPh sb="6" eb="7">
      <t>アリ</t>
    </rPh>
    <rPh sb="14" eb="15">
      <t>エン</t>
    </rPh>
    <phoneticPr fontId="139"/>
  </si>
  <si>
    <t>携帯番号</t>
    <rPh sb="0" eb="2">
      <t>ケイタイ</t>
    </rPh>
    <rPh sb="2" eb="4">
      <t>バンゴウ</t>
    </rPh>
    <phoneticPr fontId="139"/>
  </si>
  <si>
    <t>FAX番号</t>
    <rPh sb="3" eb="5">
      <t>バンゴウ</t>
    </rPh>
    <phoneticPr fontId="139"/>
  </si>
  <si>
    <t>窓口：最寄りの窓口にご持参</t>
    <rPh sb="0" eb="2">
      <t>マドグチ</t>
    </rPh>
    <rPh sb="3" eb="5">
      <t>モヨ</t>
    </rPh>
    <rPh sb="7" eb="9">
      <t>マドグチ</t>
    </rPh>
    <rPh sb="11" eb="13">
      <t>ジサン</t>
    </rPh>
    <phoneticPr fontId="139"/>
  </si>
  <si>
    <t>書面申請
の提出先</t>
    <rPh sb="0" eb="2">
      <t>ショメン</t>
    </rPh>
    <rPh sb="2" eb="4">
      <t>シンセイ</t>
    </rPh>
    <rPh sb="6" eb="9">
      <t>テイシュツサキ</t>
    </rPh>
    <phoneticPr fontId="139"/>
  </si>
  <si>
    <t>予約票の
提出方法</t>
    <rPh sb="0" eb="3">
      <t>ヨヤクヒョウ</t>
    </rPh>
    <rPh sb="5" eb="7">
      <t>テイシュツ</t>
    </rPh>
    <rPh sb="7" eb="9">
      <t>ホウホウ</t>
    </rPh>
    <phoneticPr fontId="139"/>
  </si>
  <si>
    <t>型式適合認定住宅</t>
    <rPh sb="0" eb="4">
      <t>カタシキテキゴウ</t>
    </rPh>
    <rPh sb="4" eb="6">
      <t>ニンテイ</t>
    </rPh>
    <rPh sb="6" eb="8">
      <t>ジュウタク</t>
    </rPh>
    <phoneticPr fontId="139"/>
  </si>
  <si>
    <t>変更なし</t>
    <rPh sb="0" eb="2">
      <t>ヘンコウ</t>
    </rPh>
    <phoneticPr fontId="139"/>
  </si>
  <si>
    <t>変更あり</t>
    <rPh sb="0" eb="2">
      <t>ヘンコウ</t>
    </rPh>
    <phoneticPr fontId="139"/>
  </si>
  <si>
    <t>≪2025.3.31までの確認済証交付で、2025.4.1以降に着工した物件の場合≫</t>
    <phoneticPr fontId="139"/>
  </si>
  <si>
    <t>※省エネ（一次エネ）、バリアフリーの時</t>
    <rPh sb="1" eb="2">
      <t>ショウ</t>
    </rPh>
    <rPh sb="5" eb="7">
      <t>イチジ</t>
    </rPh>
    <rPh sb="18" eb="19">
      <t>トキ</t>
    </rPh>
    <phoneticPr fontId="139"/>
  </si>
  <si>
    <t>◎省略制度あり</t>
    <rPh sb="1" eb="3">
      <t>ショウリャク</t>
    </rPh>
    <rPh sb="3" eb="5">
      <t>セイド</t>
    </rPh>
    <phoneticPr fontId="139"/>
  </si>
  <si>
    <t>号（届出様式、右下の登録番号を記入）</t>
    <rPh sb="0" eb="1">
      <t>ゴウ</t>
    </rPh>
    <phoneticPr fontId="139"/>
  </si>
  <si>
    <t>「リモート検査A受検に関する届出」は、事前に登録済</t>
    <rPh sb="5" eb="7">
      <t>ケンサ</t>
    </rPh>
    <rPh sb="8" eb="10">
      <t>ジュケン</t>
    </rPh>
    <rPh sb="11" eb="12">
      <t>カン</t>
    </rPh>
    <rPh sb="14" eb="16">
      <t>トドケデ</t>
    </rPh>
    <rPh sb="19" eb="21">
      <t>ジゼン</t>
    </rPh>
    <rPh sb="22" eb="24">
      <t>トウロク</t>
    </rPh>
    <rPh sb="24" eb="25">
      <t>スミ</t>
    </rPh>
    <phoneticPr fontId="139"/>
  </si>
  <si>
    <t>検査場所の通信接続状況に支障がないことを、事前に確認済</t>
    <rPh sb="0" eb="4">
      <t>ケンサバショ</t>
    </rPh>
    <rPh sb="5" eb="7">
      <t>ツウシン</t>
    </rPh>
    <rPh sb="7" eb="9">
      <t>セツゾク</t>
    </rPh>
    <rPh sb="9" eb="11">
      <t>ジョウキョウ</t>
    </rPh>
    <rPh sb="12" eb="14">
      <t>シショウ</t>
    </rPh>
    <rPh sb="21" eb="23">
      <t>ジゼン</t>
    </rPh>
    <rPh sb="24" eb="26">
      <t>カクニン</t>
    </rPh>
    <rPh sb="26" eb="27">
      <t>スミ</t>
    </rPh>
    <phoneticPr fontId="139"/>
  </si>
  <si>
    <t>希望に☑</t>
    <rPh sb="0" eb="2">
      <t>キボウ</t>
    </rPh>
    <phoneticPr fontId="139"/>
  </si>
  <si>
    <t>FAXへの連絡</t>
    <rPh sb="5" eb="7">
      <t>レンラク</t>
    </rPh>
    <phoneticPr fontId="139"/>
  </si>
  <si>
    <t>メールへの連絡</t>
    <rPh sb="5" eb="7">
      <t>レンラク</t>
    </rPh>
    <phoneticPr fontId="139"/>
  </si>
  <si>
    <t>補助者は、以下の事務所の者とする</t>
    <rPh sb="0" eb="3">
      <t>ホジョシャ</t>
    </rPh>
    <rPh sb="5" eb="7">
      <t>イカ</t>
    </rPh>
    <rPh sb="8" eb="11">
      <t>ジムショ</t>
    </rPh>
    <rPh sb="12" eb="13">
      <t>モノ</t>
    </rPh>
    <phoneticPr fontId="139"/>
  </si>
  <si>
    <t>検 査 予 約 票</t>
    <rPh sb="0" eb="1">
      <t>ケン</t>
    </rPh>
    <rPh sb="2" eb="3">
      <t>サ</t>
    </rPh>
    <rPh sb="4" eb="5">
      <t>ヨ</t>
    </rPh>
    <rPh sb="6" eb="7">
      <t>ヤク</t>
    </rPh>
    <rPh sb="8" eb="9">
      <t>ヒョウ</t>
    </rPh>
    <phoneticPr fontId="139"/>
  </si>
  <si>
    <t>（一財）岩手県建築住宅センター</t>
    <rPh sb="1" eb="3">
      <t>イチザイ</t>
    </rPh>
    <rPh sb="4" eb="7">
      <t>イワテケン</t>
    </rPh>
    <rPh sb="7" eb="9">
      <t>ケンチク</t>
    </rPh>
    <rPh sb="9" eb="11">
      <t>ジュウタク</t>
    </rPh>
    <phoneticPr fontId="139"/>
  </si>
  <si>
    <t>①省エネ（断熱等級）</t>
    <rPh sb="1" eb="2">
      <t>ショウ</t>
    </rPh>
    <rPh sb="5" eb="9">
      <t>ダンネツトウキュウ</t>
    </rPh>
    <phoneticPr fontId="139"/>
  </si>
  <si>
    <t>②省エネ（一次エネ）</t>
    <rPh sb="1" eb="2">
      <t>ショウ</t>
    </rPh>
    <rPh sb="5" eb="7">
      <t>イチジ</t>
    </rPh>
    <phoneticPr fontId="139"/>
  </si>
  <si>
    <t>③耐震性</t>
    <rPh sb="1" eb="3">
      <t>タイシン</t>
    </rPh>
    <rPh sb="3" eb="4">
      <t>セイ</t>
    </rPh>
    <phoneticPr fontId="139"/>
  </si>
  <si>
    <t>④バリアフリー性</t>
    <rPh sb="7" eb="8">
      <t>セイ</t>
    </rPh>
    <phoneticPr fontId="139"/>
  </si>
  <si>
    <t>基礎配筋工事の完了時③</t>
    <phoneticPr fontId="139"/>
  </si>
  <si>
    <t>躯体工事の完了時①～③</t>
    <phoneticPr fontId="139"/>
  </si>
  <si>
    <t>竣工時②、④</t>
    <phoneticPr fontId="139"/>
  </si>
  <si>
    <t>★</t>
    <phoneticPr fontId="139"/>
  </si>
  <si>
    <r>
      <t>割引あり</t>
    </r>
    <r>
      <rPr>
        <sz val="8"/>
        <color theme="1"/>
        <rFont val="ＭＳ Ｐゴシック"/>
        <family val="3"/>
        <charset val="128"/>
      </rPr>
      <t>（3つの割引制度は、併用可能です。最大－9,000円割引）</t>
    </r>
    <rPh sb="0" eb="2">
      <t>ワリビキ</t>
    </rPh>
    <rPh sb="8" eb="12">
      <t>ワリビキセイド</t>
    </rPh>
    <rPh sb="14" eb="16">
      <t>ヘイヨウ</t>
    </rPh>
    <rPh sb="16" eb="18">
      <t>カノウ</t>
    </rPh>
    <rPh sb="21" eb="23">
      <t>サイダイ</t>
    </rPh>
    <rPh sb="29" eb="30">
      <t>エン</t>
    </rPh>
    <rPh sb="30" eb="32">
      <t>ワリヒ</t>
    </rPh>
    <phoneticPr fontId="139"/>
  </si>
  <si>
    <r>
      <t>郵送：県南支所〈検査地：西和賀町、北上市、金ヶ崎町、奥州市、平泉町、一関市〉、　</t>
    </r>
    <r>
      <rPr>
        <sz val="8"/>
        <color theme="1"/>
        <rFont val="ＭＳ Ｐゴシック"/>
        <family val="3"/>
        <charset val="128"/>
      </rPr>
      <t>左記以外は　</t>
    </r>
    <r>
      <rPr>
        <sz val="11"/>
        <color theme="1"/>
        <rFont val="ＭＳ Ｐゴシック"/>
        <family val="3"/>
        <charset val="128"/>
      </rPr>
      <t>盛岡本部</t>
    </r>
    <rPh sb="0" eb="2">
      <t>ユウソウ</t>
    </rPh>
    <phoneticPr fontId="139"/>
  </si>
  <si>
    <t>１号物件</t>
    <rPh sb="1" eb="2">
      <t>ゴウ</t>
    </rPh>
    <rPh sb="2" eb="4">
      <t>ブッケン</t>
    </rPh>
    <phoneticPr fontId="139"/>
  </si>
  <si>
    <t>２号物件</t>
    <rPh sb="1" eb="2">
      <t>ゴウ</t>
    </rPh>
    <rPh sb="2" eb="4">
      <t>ブッケン</t>
    </rPh>
    <phoneticPr fontId="139"/>
  </si>
  <si>
    <t>３号物件</t>
    <rPh sb="1" eb="2">
      <t>ゴウ</t>
    </rPh>
    <rPh sb="2" eb="4">
      <t>ブッケン</t>
    </rPh>
    <phoneticPr fontId="139"/>
  </si>
  <si>
    <t>1、2号の場合は、右記に☑</t>
    <rPh sb="3" eb="4">
      <t>ゴウ</t>
    </rPh>
    <rPh sb="5" eb="7">
      <t>バアイ</t>
    </rPh>
    <rPh sb="9" eb="11">
      <t>ウキ</t>
    </rPh>
    <phoneticPr fontId="139"/>
  </si>
  <si>
    <t>戸建住宅以外</t>
    <rPh sb="0" eb="2">
      <t>コダテ</t>
    </rPh>
    <rPh sb="2" eb="4">
      <t>ジュウタク</t>
    </rPh>
    <rPh sb="4" eb="6">
      <t>イガイ</t>
    </rPh>
    <phoneticPr fontId="139"/>
  </si>
  <si>
    <t>同時検査のタイミング★</t>
    <rPh sb="0" eb="4">
      <t>ドウジケンサ</t>
    </rPh>
    <phoneticPr fontId="139"/>
  </si>
  <si>
    <t>特例なし検査</t>
    <rPh sb="0" eb="2">
      <t>トクレイ</t>
    </rPh>
    <rPh sb="4" eb="6">
      <t>ケンサ</t>
    </rPh>
    <phoneticPr fontId="139"/>
  </si>
  <si>
    <t>現場提示書類の「事前確認サービス」の希望あり</t>
    <rPh sb="0" eb="2">
      <t>ゲンバ</t>
    </rPh>
    <rPh sb="2" eb="4">
      <t>テイジ</t>
    </rPh>
    <rPh sb="4" eb="6">
      <t>ショルイ</t>
    </rPh>
    <rPh sb="8" eb="10">
      <t>ジゼン</t>
    </rPh>
    <rPh sb="10" eb="12">
      <t>カクニン</t>
    </rPh>
    <rPh sb="18" eb="20">
      <t>キボウ</t>
    </rPh>
    <phoneticPr fontId="139"/>
  </si>
  <si>
    <t>リモート検査Ａの希望あり</t>
    <rPh sb="4" eb="6">
      <t>ケンサ</t>
    </rPh>
    <rPh sb="8" eb="10">
      <t>キボウ</t>
    </rPh>
    <phoneticPr fontId="139"/>
  </si>
  <si>
    <t>再検査の場合</t>
    <rPh sb="0" eb="3">
      <t>サイケンサ</t>
    </rPh>
    <rPh sb="4" eb="6">
      <t>バアイ</t>
    </rPh>
    <phoneticPr fontId="139"/>
  </si>
  <si>
    <t>≪検査指示書≫</t>
    <rPh sb="1" eb="6">
      <t>ケンサシジショ</t>
    </rPh>
    <phoneticPr fontId="139"/>
  </si>
  <si>
    <t>□</t>
    <phoneticPr fontId="139"/>
  </si>
  <si>
    <r>
      <t>戸建住宅　</t>
    </r>
    <r>
      <rPr>
        <sz val="9"/>
        <color theme="1"/>
        <rFont val="ＭＳ Ｐゴシック"/>
        <family val="3"/>
        <charset val="128"/>
      </rPr>
      <t>（店舗等併用住宅は除く）</t>
    </r>
    <rPh sb="0" eb="2">
      <t>コダテ</t>
    </rPh>
    <rPh sb="2" eb="4">
      <t>ジュウタク</t>
    </rPh>
    <rPh sb="6" eb="9">
      <t>テンポトウ</t>
    </rPh>
    <rPh sb="9" eb="11">
      <t>ヘイヨウ</t>
    </rPh>
    <rPh sb="11" eb="13">
      <t>ジュウタク</t>
    </rPh>
    <rPh sb="14" eb="15">
      <t>ノゾ</t>
    </rPh>
    <phoneticPr fontId="139"/>
  </si>
  <si>
    <t>省エネ検査なし</t>
    <rPh sb="0" eb="1">
      <t>ショウ</t>
    </rPh>
    <rPh sb="3" eb="5">
      <t>ケンサ</t>
    </rPh>
    <phoneticPr fontId="139"/>
  </si>
  <si>
    <r>
      <t>省エネ検査あり</t>
    </r>
    <r>
      <rPr>
        <sz val="8"/>
        <color theme="1"/>
        <rFont val="ＭＳ Ｐゴシック"/>
        <family val="3"/>
        <charset val="128"/>
      </rPr>
      <t>（センター）</t>
    </r>
    <rPh sb="0" eb="1">
      <t>ショウ</t>
    </rPh>
    <rPh sb="3" eb="5">
      <t>ケンサ</t>
    </rPh>
    <phoneticPr fontId="139"/>
  </si>
  <si>
    <r>
      <t>省エネ検査あり</t>
    </r>
    <r>
      <rPr>
        <sz val="8"/>
        <color theme="1"/>
        <rFont val="ＭＳ Ｐゴシック"/>
        <family val="3"/>
        <charset val="128"/>
      </rPr>
      <t>（他機関）</t>
    </r>
    <rPh sb="0" eb="1">
      <t>ショウ</t>
    </rPh>
    <rPh sb="3" eb="5">
      <t>ケンサ</t>
    </rPh>
    <rPh sb="8" eb="11">
      <t>タキカン</t>
    </rPh>
    <phoneticPr fontId="139"/>
  </si>
  <si>
    <t>≪使用制限対象：1号、2号≫軽微変更扱いできずに、計画変更が必要になると、検査日程がずれ込みます。</t>
    <rPh sb="1" eb="3">
      <t>シヨウ</t>
    </rPh>
    <rPh sb="3" eb="5">
      <t>セイゲン</t>
    </rPh>
    <rPh sb="5" eb="7">
      <t>タイショウ</t>
    </rPh>
    <rPh sb="9" eb="10">
      <t>ゴウ</t>
    </rPh>
    <rPh sb="12" eb="13">
      <t>ゴウ</t>
    </rPh>
    <rPh sb="14" eb="16">
      <t>ケイビ</t>
    </rPh>
    <rPh sb="16" eb="18">
      <t>ヘンコウ</t>
    </rPh>
    <rPh sb="18" eb="19">
      <t>アツカ</t>
    </rPh>
    <rPh sb="25" eb="27">
      <t>ケイカク</t>
    </rPh>
    <rPh sb="27" eb="29">
      <t>ヘンコウ</t>
    </rPh>
    <rPh sb="30" eb="32">
      <t>ヒツヨウ</t>
    </rPh>
    <rPh sb="37" eb="41">
      <t>ケンサニッテイ</t>
    </rPh>
    <rPh sb="44" eb="45">
      <t>コ</t>
    </rPh>
    <phoneticPr fontId="139"/>
  </si>
  <si>
    <t>◇　以下は、センターの記載欄　◇</t>
    <rPh sb="2" eb="4">
      <t>イカ</t>
    </rPh>
    <rPh sb="11" eb="13">
      <t>キサイ</t>
    </rPh>
    <rPh sb="13" eb="14">
      <t>ラン</t>
    </rPh>
    <phoneticPr fontId="139"/>
  </si>
  <si>
    <t>）</t>
    <phoneticPr fontId="139"/>
  </si>
  <si>
    <t>棟</t>
    <rPh sb="0" eb="1">
      <t>ムネ</t>
    </rPh>
    <phoneticPr fontId="139"/>
  </si>
  <si>
    <t>複数棟検査</t>
    <rPh sb="0" eb="2">
      <t>フクスウ</t>
    </rPh>
    <rPh sb="2" eb="3">
      <t>ムネ</t>
    </rPh>
    <rPh sb="3" eb="5">
      <t>ケンサ</t>
    </rPh>
    <phoneticPr fontId="139"/>
  </si>
  <si>
    <t>複数棟検査（同一団地の建売,長屋等）</t>
    <rPh sb="0" eb="2">
      <t>フクスウ</t>
    </rPh>
    <rPh sb="2" eb="3">
      <t>ムネ</t>
    </rPh>
    <rPh sb="3" eb="5">
      <t>ケンサ</t>
    </rPh>
    <rPh sb="6" eb="8">
      <t>ドウイチ</t>
    </rPh>
    <rPh sb="8" eb="10">
      <t>ダンチ</t>
    </rPh>
    <rPh sb="11" eb="13">
      <t>タテウリ</t>
    </rPh>
    <rPh sb="14" eb="16">
      <t>ナガヤ</t>
    </rPh>
    <rPh sb="16" eb="17">
      <t>トウ</t>
    </rPh>
    <phoneticPr fontId="139"/>
  </si>
  <si>
    <t>以下に、全棟番号を記入</t>
    <rPh sb="0" eb="2">
      <t>イカ</t>
    </rPh>
    <rPh sb="4" eb="5">
      <t>ゼン</t>
    </rPh>
    <rPh sb="5" eb="6">
      <t>ムネ</t>
    </rPh>
    <rPh sb="6" eb="8">
      <t>バンゴウ</t>
    </rPh>
    <rPh sb="9" eb="11">
      <t>キニュウ</t>
    </rPh>
    <phoneticPr fontId="139"/>
  </si>
  <si>
    <t>以下に、全棟番号（４桁-末尾）を記入</t>
    <rPh sb="0" eb="2">
      <t>イカ</t>
    </rPh>
    <rPh sb="4" eb="5">
      <t>ゼン</t>
    </rPh>
    <rPh sb="5" eb="6">
      <t>ムネ</t>
    </rPh>
    <rPh sb="6" eb="8">
      <t>バンゴウ</t>
    </rPh>
    <rPh sb="10" eb="11">
      <t>ケタ</t>
    </rPh>
    <rPh sb="12" eb="14">
      <t>マツビ</t>
    </rPh>
    <rPh sb="16" eb="18">
      <t>キニュウ</t>
    </rPh>
    <phoneticPr fontId="139"/>
  </si>
  <si>
    <t>エクセル形式でご提出ください</t>
    <rPh sb="8" eb="10">
      <t>テイシュツ</t>
    </rPh>
    <phoneticPr fontId="139"/>
  </si>
  <si>
    <t>◆電子◆　チャット画面に添付</t>
    <rPh sb="1" eb="3">
      <t>デンシ</t>
    </rPh>
    <phoneticPr fontId="139"/>
  </si>
  <si>
    <t>同上</t>
    <rPh sb="0" eb="2">
      <t>ドウジョウ</t>
    </rPh>
    <phoneticPr fontId="139"/>
  </si>
  <si>
    <t>◆確認申請・適合証明の提出は、以下の方法。それ以外は、盛岡本部への提出</t>
    <rPh sb="1" eb="3">
      <t>カクニン</t>
    </rPh>
    <rPh sb="3" eb="5">
      <t>シンセイ</t>
    </rPh>
    <rPh sb="6" eb="10">
      <t>テキゴウショウメイ</t>
    </rPh>
    <rPh sb="11" eb="13">
      <t>テイシュツ</t>
    </rPh>
    <rPh sb="15" eb="17">
      <t>イカ</t>
    </rPh>
    <rPh sb="18" eb="20">
      <t>ホウホウ</t>
    </rPh>
    <rPh sb="23" eb="25">
      <t>イガイ</t>
    </rPh>
    <rPh sb="27" eb="31">
      <t>モリオカホンブ</t>
    </rPh>
    <rPh sb="33" eb="35">
      <t>テイシュツ</t>
    </rPh>
    <phoneticPr fontId="139"/>
  </si>
  <si>
    <t>【2025法改正施行日前後の追加審査】の手続きを、実施済</t>
    <rPh sb="20" eb="22">
      <t>テツヅ</t>
    </rPh>
    <rPh sb="25" eb="27">
      <t>ジッシ</t>
    </rPh>
    <rPh sb="27" eb="28">
      <t>ズ</t>
    </rPh>
    <phoneticPr fontId="139"/>
  </si>
  <si>
    <t>①確認申請、②以下に掲げる業務のうちどれかひとつを、センターに申請した場合　（②に、適合証明は除きます。）</t>
    <rPh sb="7" eb="9">
      <t>イカ</t>
    </rPh>
    <rPh sb="10" eb="11">
      <t>カカ</t>
    </rPh>
    <rPh sb="13" eb="15">
      <t>ギョウム</t>
    </rPh>
    <rPh sb="42" eb="46">
      <t>テキゴウショウメイ</t>
    </rPh>
    <rPh sb="47" eb="48">
      <t>ノゾ</t>
    </rPh>
    <phoneticPr fontId="139"/>
  </si>
  <si>
    <t>直前の確認番号を記入</t>
    <rPh sb="0" eb="2">
      <t>チョクゼン</t>
    </rPh>
    <rPh sb="3" eb="5">
      <t>カクニン</t>
    </rPh>
    <rPh sb="5" eb="7">
      <t>バンゴウ</t>
    </rPh>
    <rPh sb="8" eb="10">
      <t>キニュウ</t>
    </rPh>
    <phoneticPr fontId="139"/>
  </si>
  <si>
    <t>≪よくあるお問い合わせ：住宅は対象外≫</t>
    <rPh sb="6" eb="7">
      <t>ト</t>
    </rPh>
    <rPh sb="8" eb="9">
      <t>ア</t>
    </rPh>
    <rPh sb="12" eb="14">
      <t>ジュウタク</t>
    </rPh>
    <rPh sb="15" eb="18">
      <t>タイショウガイ</t>
    </rPh>
    <phoneticPr fontId="139"/>
  </si>
  <si>
    <t>◇書面◇　メールに添付　（来所・郵送前）</t>
    <rPh sb="1" eb="3">
      <t>ショメン</t>
    </rPh>
    <rPh sb="9" eb="11">
      <t>テンプ</t>
    </rPh>
    <rPh sb="13" eb="15">
      <t>ライショ</t>
    </rPh>
    <rPh sb="16" eb="18">
      <t>ユウソウ</t>
    </rPh>
    <rPh sb="18" eb="19">
      <t>マエ</t>
    </rPh>
    <phoneticPr fontId="139"/>
  </si>
  <si>
    <t>kensa@ikjc.or.jp</t>
    <phoneticPr fontId="139"/>
  </si>
  <si>
    <t>【９】備考　（記入欄が小さい等の理由で、指定項目に書ききれない場合は、以下欄をに記入してください。）</t>
    <rPh sb="3" eb="5">
      <t>ビコウ</t>
    </rPh>
    <rPh sb="7" eb="10">
      <t>キニュウラン</t>
    </rPh>
    <rPh sb="11" eb="12">
      <t>チイ</t>
    </rPh>
    <rPh sb="14" eb="15">
      <t>トウ</t>
    </rPh>
    <rPh sb="16" eb="18">
      <t>リユウ</t>
    </rPh>
    <rPh sb="20" eb="22">
      <t>シテイ</t>
    </rPh>
    <rPh sb="22" eb="24">
      <t>コウモク</t>
    </rPh>
    <rPh sb="25" eb="26">
      <t>カ</t>
    </rPh>
    <rPh sb="31" eb="33">
      <t>バアイ</t>
    </rPh>
    <rPh sb="35" eb="37">
      <t>イカ</t>
    </rPh>
    <rPh sb="37" eb="38">
      <t>ラン</t>
    </rPh>
    <rPh sb="40" eb="42">
      <t>キニュウ</t>
    </rPh>
    <phoneticPr fontId="139"/>
  </si>
  <si>
    <t>[対象]戸建（併用除く）、長屋、共同住宅、これらに附属するもの</t>
    <rPh sb="1" eb="3">
      <t>タイショウ</t>
    </rPh>
    <rPh sb="4" eb="6">
      <t>コダテ</t>
    </rPh>
    <rPh sb="7" eb="9">
      <t>ヘイヨウ</t>
    </rPh>
    <rPh sb="9" eb="10">
      <t>ノゾ</t>
    </rPh>
    <rPh sb="13" eb="15">
      <t>ナガヤ</t>
    </rPh>
    <rPh sb="16" eb="20">
      <t>キョウドウジュウタク</t>
    </rPh>
    <rPh sb="25" eb="27">
      <t>フゾク</t>
    </rPh>
    <phoneticPr fontId="139"/>
  </si>
  <si>
    <t>　　　　（規模要件はなし）</t>
    <rPh sb="5" eb="9">
      <t>キボヨウケン</t>
    </rPh>
    <phoneticPr fontId="139"/>
  </si>
  <si>
    <t xml:space="preserve"> 建築物エネルギー消費性能適合性判定業務</t>
    <phoneticPr fontId="139"/>
  </si>
  <si>
    <t>【１】検査希望日</t>
    <rPh sb="3" eb="8">
      <t>ケンサキボウビ</t>
    </rPh>
    <phoneticPr fontId="139"/>
  </si>
  <si>
    <t>（申込受付番号）</t>
    <rPh sb="1" eb="2">
      <t>モウ</t>
    </rPh>
    <rPh sb="2" eb="5">
      <t>コミウケツケ</t>
    </rPh>
    <rPh sb="5" eb="7">
      <t>バンゴウ</t>
    </rPh>
    <phoneticPr fontId="139"/>
  </si>
  <si>
    <t>屋根工事完了時</t>
    <rPh sb="0" eb="4">
      <t>ヤネコウジ</t>
    </rPh>
    <rPh sb="4" eb="7">
      <t>カンリョウジ</t>
    </rPh>
    <phoneticPr fontId="139"/>
  </si>
  <si>
    <t>通常検査</t>
    <rPh sb="0" eb="2">
      <t>ツウジョウ</t>
    </rPh>
    <rPh sb="2" eb="4">
      <t>ケンサ</t>
    </rPh>
    <phoneticPr fontId="139"/>
  </si>
  <si>
    <t>品質検査</t>
    <rPh sb="0" eb="2">
      <t>ヒンシツ</t>
    </rPh>
    <rPh sb="2" eb="4">
      <t>ケンサ</t>
    </rPh>
    <phoneticPr fontId="139"/>
  </si>
  <si>
    <t>アンカー検査</t>
    <rPh sb="4" eb="6">
      <t>ケンサ</t>
    </rPh>
    <phoneticPr fontId="139"/>
  </si>
  <si>
    <t>上部躯体検査</t>
    <rPh sb="0" eb="2">
      <t>ジョウブ</t>
    </rPh>
    <rPh sb="2" eb="4">
      <t>クタイ</t>
    </rPh>
    <rPh sb="4" eb="6">
      <t>ケンサ</t>
    </rPh>
    <phoneticPr fontId="139"/>
  </si>
  <si>
    <t>基礎配筋検査</t>
    <rPh sb="0" eb="4">
      <t>キソハイキン</t>
    </rPh>
    <rPh sb="4" eb="6">
      <t>ケンサ</t>
    </rPh>
    <phoneticPr fontId="139"/>
  </si>
  <si>
    <t>【３】建築主名</t>
    <rPh sb="3" eb="7">
      <t>ケンチクヌシメイ</t>
    </rPh>
    <phoneticPr fontId="139"/>
  </si>
  <si>
    <r>
      <t>【４】検査場所</t>
    </r>
    <r>
      <rPr>
        <sz val="10"/>
        <color theme="1"/>
        <rFont val="ＭＳ Ｐゴシック"/>
        <family val="3"/>
        <charset val="128"/>
      </rPr>
      <t>　※〇〇市〇〇町までの記入で可</t>
    </r>
    <rPh sb="3" eb="5">
      <t>ケンサ</t>
    </rPh>
    <rPh sb="5" eb="7">
      <t>バショ</t>
    </rPh>
    <rPh sb="11" eb="12">
      <t>シ</t>
    </rPh>
    <rPh sb="14" eb="15">
      <t>マチ</t>
    </rPh>
    <rPh sb="18" eb="20">
      <t>キニュウ</t>
    </rPh>
    <rPh sb="21" eb="22">
      <t>カ</t>
    </rPh>
    <phoneticPr fontId="139"/>
  </si>
  <si>
    <t>【５】検査時間の連絡先</t>
    <rPh sb="3" eb="5">
      <t>ケンサ</t>
    </rPh>
    <rPh sb="5" eb="7">
      <t>ジカン</t>
    </rPh>
    <rPh sb="8" eb="11">
      <t>レンラクサキ</t>
    </rPh>
    <phoneticPr fontId="139"/>
  </si>
  <si>
    <t>【６】立会者の連絡先</t>
    <rPh sb="3" eb="6">
      <t>リッカイシャ</t>
    </rPh>
    <rPh sb="7" eb="10">
      <t>レンラクサキ</t>
    </rPh>
    <phoneticPr fontId="139"/>
  </si>
  <si>
    <r>
      <t>【７】検査物件（建築物）の基本情報　</t>
    </r>
    <r>
      <rPr>
        <sz val="8"/>
        <color theme="1"/>
        <rFont val="ＭＳ Ｐゴシック"/>
        <family val="3"/>
        <charset val="128"/>
      </rPr>
      <t>（複数棟の場合、主たる用途で記入してください。）</t>
    </r>
    <rPh sb="3" eb="5">
      <t>ケンサ</t>
    </rPh>
    <rPh sb="5" eb="7">
      <t>ブッケン</t>
    </rPh>
    <rPh sb="8" eb="11">
      <t>ケンチクブツ</t>
    </rPh>
    <rPh sb="13" eb="17">
      <t>キホンジョウホウ</t>
    </rPh>
    <rPh sb="19" eb="22">
      <t>フクスウムネ</t>
    </rPh>
    <rPh sb="23" eb="25">
      <t>バアイ</t>
    </rPh>
    <rPh sb="26" eb="27">
      <t>シュ</t>
    </rPh>
    <rPh sb="29" eb="31">
      <t>ヨウト</t>
    </rPh>
    <rPh sb="32" eb="34">
      <t>キニュウ</t>
    </rPh>
    <phoneticPr fontId="139"/>
  </si>
  <si>
    <t>【８】軽微変更の有無</t>
    <rPh sb="3" eb="5">
      <t>ケイビ</t>
    </rPh>
    <rPh sb="5" eb="7">
      <t>ヘンコウ</t>
    </rPh>
    <rPh sb="8" eb="10">
      <t>ウム</t>
    </rPh>
    <phoneticPr fontId="139"/>
  </si>
  <si>
    <r>
      <t>【９】完了申請料の割引適用の有無</t>
    </r>
    <r>
      <rPr>
        <sz val="9"/>
        <color theme="1"/>
        <rFont val="ＭＳ Ｐゴシック"/>
        <family val="3"/>
        <charset val="128"/>
      </rPr>
      <t>（割引を希望する場合、該当箇所にチェックを入れて、通知書等の番号を明示ください。）</t>
    </r>
    <rPh sb="3" eb="5">
      <t>カンリョウ</t>
    </rPh>
    <rPh sb="5" eb="7">
      <t>シンセイ</t>
    </rPh>
    <rPh sb="7" eb="8">
      <t>リョウ</t>
    </rPh>
    <rPh sb="9" eb="11">
      <t>ワリビキ</t>
    </rPh>
    <rPh sb="11" eb="13">
      <t>テキヨウ</t>
    </rPh>
    <rPh sb="14" eb="16">
      <t>ウム</t>
    </rPh>
    <rPh sb="17" eb="19">
      <t>ワリビキ</t>
    </rPh>
    <rPh sb="20" eb="22">
      <t>キボウ</t>
    </rPh>
    <rPh sb="24" eb="26">
      <t>バアイ</t>
    </rPh>
    <rPh sb="27" eb="29">
      <t>ガイトウ</t>
    </rPh>
    <rPh sb="29" eb="31">
      <t>カショ</t>
    </rPh>
    <rPh sb="37" eb="38">
      <t>イ</t>
    </rPh>
    <rPh sb="41" eb="45">
      <t>ツウチショトウ</t>
    </rPh>
    <rPh sb="46" eb="48">
      <t>バンゴウ</t>
    </rPh>
    <rPh sb="49" eb="51">
      <t>メイジ</t>
    </rPh>
    <phoneticPr fontId="139"/>
  </si>
  <si>
    <t>【10】リモート検査Aを希望する場合、枠内に記入</t>
    <rPh sb="8" eb="10">
      <t>ケンサ</t>
    </rPh>
    <rPh sb="12" eb="14">
      <t>キボウ</t>
    </rPh>
    <rPh sb="16" eb="18">
      <t>バアイ</t>
    </rPh>
    <rPh sb="19" eb="21">
      <t>ワクナイ</t>
    </rPh>
    <rPh sb="22" eb="24">
      <t>キニュウ</t>
    </rPh>
    <phoneticPr fontId="139"/>
  </si>
  <si>
    <t>◇　【11】希望する検査の項目を記入　◇</t>
    <rPh sb="6" eb="8">
      <t>キボウ</t>
    </rPh>
    <rPh sb="10" eb="12">
      <t>ケンサ</t>
    </rPh>
    <rPh sb="13" eb="15">
      <t>コウモク</t>
    </rPh>
    <rPh sb="16" eb="18">
      <t>キニュウ</t>
    </rPh>
    <phoneticPr fontId="139"/>
  </si>
  <si>
    <t>水</t>
  </si>
  <si>
    <t>勤労感謝の日</t>
  </si>
  <si>
    <t>木</t>
  </si>
  <si>
    <t>文化の日</t>
  </si>
  <si>
    <t>スポーツの日</t>
  </si>
  <si>
    <t>金</t>
  </si>
  <si>
    <t>秋分の日</t>
  </si>
  <si>
    <t>敬老の日</t>
  </si>
  <si>
    <t>山の日</t>
  </si>
  <si>
    <t>海の日</t>
  </si>
  <si>
    <t>こどもの日</t>
  </si>
  <si>
    <t>みどりの日</t>
  </si>
  <si>
    <t>火</t>
  </si>
  <si>
    <t>憲法記念日</t>
  </si>
  <si>
    <t>昭和の日</t>
  </si>
  <si>
    <t>振替休日</t>
  </si>
  <si>
    <t>春分の日</t>
  </si>
  <si>
    <t>天皇誕生日</t>
  </si>
  <si>
    <t>建国記念の日</t>
  </si>
  <si>
    <t>成人の日</t>
  </si>
  <si>
    <t>土</t>
  </si>
  <si>
    <t>元日</t>
  </si>
  <si>
    <t>国民の休日</t>
  </si>
  <si>
    <t>即位礼正殿の儀</t>
  </si>
  <si>
    <t>体育の日</t>
  </si>
  <si>
    <t>即位の日</t>
  </si>
  <si>
    <t>曜日</t>
  </si>
  <si>
    <t>祝日名</t>
  </si>
  <si>
    <r>
      <t>【２】備考</t>
    </r>
    <r>
      <rPr>
        <sz val="11"/>
        <color theme="1"/>
        <rFont val="ＭＳ Ｐゴシック"/>
        <family val="3"/>
        <charset val="128"/>
      </rPr>
      <t>（午前・午後　程度の時間希望）</t>
    </r>
    <rPh sb="3" eb="5">
      <t>ビコウ</t>
    </rPh>
    <rPh sb="6" eb="8">
      <t>ゴゼン</t>
    </rPh>
    <rPh sb="9" eb="11">
      <t>ゴゴ</t>
    </rPh>
    <rPh sb="12" eb="14">
      <t>テイド</t>
    </rPh>
    <rPh sb="15" eb="17">
      <t>ジカン</t>
    </rPh>
    <rPh sb="17" eb="19">
      <t>キボウ</t>
    </rPh>
    <phoneticPr fontId="139"/>
  </si>
  <si>
    <r>
      <t>躯体工事完了時</t>
    </r>
    <r>
      <rPr>
        <sz val="8"/>
        <rFont val="ＭＳ Ｐゴシック"/>
        <family val="3"/>
        <charset val="128"/>
      </rPr>
      <t>※あんしん</t>
    </r>
    <phoneticPr fontId="139"/>
  </si>
  <si>
    <t>12時必着</t>
    <rPh sb="2" eb="3">
      <t>ジ</t>
    </rPh>
    <rPh sb="3" eb="5">
      <t>ヒッチャク</t>
    </rPh>
    <phoneticPr fontId="139"/>
  </si>
  <si>
    <t>希望日の7営業日前の午前中</t>
    <rPh sb="0" eb="3">
      <t>キボウビ</t>
    </rPh>
    <rPh sb="5" eb="9">
      <t>エイギョウビマエ</t>
    </rPh>
    <rPh sb="10" eb="13">
      <t>ゴゼンチュウ</t>
    </rPh>
    <phoneticPr fontId="139"/>
  </si>
  <si>
    <t>参考：完了申請書類提出期限（お盆期間非対応）</t>
    <rPh sb="0" eb="2">
      <t>サンコウ</t>
    </rPh>
    <rPh sb="3" eb="5">
      <t>カンリョウ</t>
    </rPh>
    <rPh sb="5" eb="7">
      <t>シンセイ</t>
    </rPh>
    <rPh sb="7" eb="9">
      <t>ショルイ</t>
    </rPh>
    <rPh sb="9" eb="13">
      <t>テイシュツキゲン</t>
    </rPh>
    <rPh sb="15" eb="16">
      <t>ボン</t>
    </rPh>
    <rPh sb="16" eb="18">
      <t>キカン</t>
    </rPh>
    <rPh sb="18" eb="21">
      <t>ヒタイオウ</t>
    </rPh>
    <phoneticPr fontId="1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</si>
</sst>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411]ggge&quot;年&quot;m&quot;月&quot;d&quot;日&quot;;@"/>
    <numFmt numFmtId="183" formatCode="#,##0.00_);[Red]\(#,##0.00\)"/>
    <numFmt numFmtId="184" formatCode="yyyy/mm/dd"/>
    <numFmt numFmtId="185" formatCode="[$-411]ggge&quot;年&quot;mm&quot;月&quot;dd&quot;日 ( &quot;aaa&quot; )&quot;;@"/>
    <numFmt numFmtId="186" formatCode="[$-F800]dddd\,\ mmmm\ dd\,\ yyyy"/>
    <numFmt numFmtId="187" formatCode="0.0_ "/>
    <numFmt numFmtId="188" formatCode="[$-411]ggge&quot;年&quot;m&quot;月&quot;d&quot;日（&quot;aaa&quot;）&quot;;@"/>
    <numFmt numFmtId="189" formatCode="[$]ggge&quot;年&quot;m&quot;月&quot;d&quot;日&quot;;@"/>
    <numFmt numFmtId="190" formatCode="[$-411]ge\.m\.d;@"/>
    <numFmt numFmtId="191" formatCode="m/d;@"/>
  </numFmts>
  <fonts count="170">
    <font>
      <sz val="11"/>
      <color theme="1"/>
      <name val="ＭＳ Ｐゴシック"/>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1"/>
      <color indexed="8"/>
      <name val="ＭＳ Ｐゴシック"/>
      <family val="3"/>
      <charset val="128"/>
    </font>
    <font>
      <sz val="11"/>
      <color theme="1"/>
      <name val="ＭＳ Ｐゴシック"/>
      <family val="3"/>
      <charset val="128"/>
    </font>
    <font>
      <sz val="10"/>
      <color theme="1"/>
      <name val="ＭＳ Ｐゴシック"/>
      <family val="3"/>
      <charset val="128"/>
    </font>
    <font>
      <sz val="9"/>
      <color theme="1"/>
      <name val="ＭＳ Ｐゴシック"/>
      <family val="3"/>
      <charset val="128"/>
    </font>
    <font>
      <sz val="9"/>
      <color theme="1"/>
      <name val="ＭＳ Ｐ明朝"/>
      <family val="1"/>
      <charset val="128"/>
    </font>
    <font>
      <sz val="10"/>
      <color theme="1"/>
      <name val="ＭＳ Ｐ明朝"/>
      <family val="1"/>
      <charset val="128"/>
    </font>
    <font>
      <sz val="8"/>
      <color theme="1"/>
      <name val="ＭＳ Ｐ明朝"/>
      <family val="1"/>
      <charset val="128"/>
    </font>
    <font>
      <sz val="9"/>
      <color theme="1"/>
      <name val="ＭＳ 明朝"/>
      <family val="1"/>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
      <color theme="1"/>
      <name val="ＭＳ 明朝"/>
      <family val="1"/>
      <charset val="128"/>
    </font>
    <font>
      <sz val="9"/>
      <color indexed="10"/>
      <name val="ＭＳ Ｐゴシック"/>
      <family val="3"/>
      <charset val="128"/>
    </font>
    <font>
      <sz val="10.5"/>
      <color theme="1"/>
      <name val="ＭＳ 明朝"/>
      <family val="1"/>
      <charset val="128"/>
    </font>
    <font>
      <sz val="9"/>
      <color indexed="8"/>
      <name val="ＭＳ Ｐゴシック"/>
      <family val="3"/>
      <charset val="128"/>
    </font>
    <font>
      <sz val="9"/>
      <color indexed="81"/>
      <name val="ＭＳ Ｐゴシック"/>
      <family val="3"/>
      <charset val="128"/>
    </font>
    <font>
      <b/>
      <sz val="9"/>
      <color indexed="81"/>
      <name val="ＭＳ Ｐゴシック"/>
      <family val="3"/>
      <charset val="128"/>
    </font>
    <font>
      <b/>
      <sz val="12"/>
      <color theme="1"/>
      <name val="ＭＳ Ｐ明朝"/>
      <family val="1"/>
      <charset val="128"/>
    </font>
    <font>
      <sz val="9.5"/>
      <color theme="1"/>
      <name val="ＭＳ Ｐ明朝"/>
      <family val="1"/>
      <charset val="128"/>
    </font>
    <font>
      <b/>
      <sz val="10"/>
      <color theme="1"/>
      <name val="ＭＳ Ｐ明朝"/>
      <family val="1"/>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9"/>
      <color indexed="81"/>
      <name val="MS P ゴシック"/>
      <charset val="128"/>
    </font>
    <font>
      <sz val="9"/>
      <color theme="1"/>
      <name val="Osaka"/>
      <family val="3"/>
      <charset val="128"/>
    </font>
    <font>
      <sz val="12"/>
      <color theme="1"/>
      <name val="HGMaruGothicMPRO"/>
      <family val="2"/>
    </font>
    <font>
      <sz val="11"/>
      <color theme="1"/>
      <name val="ＭＳ Ｐゴシック"/>
      <family val="3"/>
      <charset val="128"/>
    </font>
    <font>
      <sz val="12"/>
      <color theme="1"/>
      <name val="HGMaruGothicMPRO"/>
      <family val="3"/>
    </font>
    <font>
      <sz val="9"/>
      <color theme="1"/>
      <name val="Meiryo UI"/>
      <family val="3"/>
      <charset val="128"/>
    </font>
    <font>
      <b/>
      <sz val="12"/>
      <color theme="1"/>
      <name val="Meiryo UI"/>
      <family val="3"/>
      <charset val="128"/>
    </font>
    <font>
      <sz val="10"/>
      <color theme="1"/>
      <name val="Meiryo UI"/>
      <family val="3"/>
      <charset val="128"/>
    </font>
    <font>
      <sz val="9"/>
      <color rgb="FF00B0F0"/>
      <name val="Meiryo UI"/>
      <family val="3"/>
      <charset val="128"/>
    </font>
    <font>
      <sz val="12"/>
      <color theme="1"/>
      <name val="Meiryo UI"/>
      <family val="3"/>
      <charset val="128"/>
    </font>
    <font>
      <sz val="12"/>
      <color theme="1"/>
      <name val="Meiryo UI"/>
      <family val="3"/>
      <charset val="128"/>
    </font>
    <font>
      <u/>
      <sz val="11"/>
      <color theme="10"/>
      <name val="ＭＳ Ｐゴシック"/>
      <family val="3"/>
      <charset val="128"/>
      <scheme val="minor"/>
    </font>
    <font>
      <u/>
      <sz val="11"/>
      <color theme="1"/>
      <name val="ＭＳ Ｐゴシック"/>
      <family val="3"/>
      <charset val="128"/>
      <scheme val="minor"/>
    </font>
    <font>
      <sz val="10"/>
      <color theme="1"/>
      <name val="ＭＳ 明朝"/>
      <family val="1"/>
      <charset val="128"/>
    </font>
    <font>
      <sz val="11"/>
      <color theme="1"/>
      <name val="Meiryo UI"/>
      <family val="3"/>
      <charset val="128"/>
    </font>
    <font>
      <b/>
      <sz val="14"/>
      <color theme="1"/>
      <name val="Meiryo UI"/>
      <family val="3"/>
      <charset val="128"/>
    </font>
    <font>
      <u/>
      <sz val="11"/>
      <color theme="10"/>
      <name val="ＭＳ Ｐゴシック"/>
      <family val="3"/>
      <charset val="128"/>
      <scheme val="minor"/>
    </font>
    <font>
      <b/>
      <sz val="10"/>
      <color theme="1"/>
      <name val="Meiryo UI"/>
      <family val="3"/>
      <charset val="128"/>
    </font>
    <font>
      <sz val="8"/>
      <color theme="1"/>
      <name val="Yu Gothic UI"/>
      <family val="3"/>
      <charset val="128"/>
    </font>
    <font>
      <sz val="10"/>
      <color rgb="FF00B0F0"/>
      <name val="Meiryo UI"/>
      <family val="3"/>
      <charset val="128"/>
    </font>
    <font>
      <sz val="8"/>
      <color rgb="FFFF0000"/>
      <name val="Meiryo UI"/>
      <family val="3"/>
      <charset val="128"/>
    </font>
    <font>
      <sz val="10"/>
      <color rgb="FF7030A0"/>
      <name val="Meiryo UI"/>
      <family val="3"/>
      <charset val="128"/>
    </font>
    <font>
      <sz val="10"/>
      <color rgb="FF0070C0"/>
      <name val="Meiryo UI"/>
      <family val="3"/>
      <charset val="128"/>
    </font>
    <font>
      <sz val="10"/>
      <color theme="9" tint="-0.249977111117893"/>
      <name val="Meiryo UI"/>
      <family val="3"/>
      <charset val="128"/>
    </font>
    <font>
      <sz val="10"/>
      <color theme="9"/>
      <name val="Meiryo UI"/>
      <family val="3"/>
      <charset val="128"/>
    </font>
    <font>
      <sz val="10"/>
      <color rgb="FF00B050"/>
      <name val="Meiryo UI"/>
      <family val="3"/>
      <charset val="128"/>
    </font>
    <font>
      <sz val="12"/>
      <color theme="1"/>
      <name val="ＭＳ 明朝"/>
      <family val="1"/>
      <charset val="128"/>
    </font>
    <font>
      <sz val="10"/>
      <color rgb="FF000000"/>
      <name val="ＭＳ 明朝"/>
      <family val="1"/>
      <charset val="128"/>
    </font>
    <font>
      <sz val="9"/>
      <color theme="1"/>
      <name val="Osaka"/>
      <charset val="128"/>
    </font>
    <font>
      <sz val="11"/>
      <color theme="1"/>
      <name val="Meiryo UI"/>
      <family val="3"/>
      <charset val="128"/>
    </font>
    <font>
      <sz val="11"/>
      <color rgb="FFFF0000"/>
      <name val="Meiryo UI"/>
      <family val="3"/>
      <charset val="128"/>
    </font>
    <font>
      <sz val="20"/>
      <color theme="1"/>
      <name val="Meiryo UI"/>
      <family val="3"/>
      <charset val="128"/>
    </font>
    <font>
      <sz val="9"/>
      <color theme="1"/>
      <name val="Meiryo UI"/>
      <family val="3"/>
      <charset val="128"/>
    </font>
    <font>
      <b/>
      <sz val="11"/>
      <color theme="0"/>
      <name val="Meiryo UI"/>
      <family val="3"/>
      <charset val="128"/>
    </font>
    <font>
      <sz val="10"/>
      <color theme="1"/>
      <name val="Meiryo UI"/>
      <family val="3"/>
      <charset val="128"/>
    </font>
    <font>
      <sz val="10"/>
      <color rgb="FFFF0000"/>
      <name val="Meiryo UI"/>
      <family val="3"/>
      <charset val="128"/>
    </font>
    <font>
      <sz val="6"/>
      <color theme="1"/>
      <name val="Meiryo UI"/>
      <family val="3"/>
      <charset val="128"/>
    </font>
    <font>
      <sz val="8"/>
      <color theme="1"/>
      <name val="Meiryo UI"/>
      <family val="3"/>
      <charset val="128"/>
    </font>
    <font>
      <sz val="8"/>
      <color rgb="FFFF0000"/>
      <name val="Meiryo UI"/>
      <family val="3"/>
      <charset val="128"/>
    </font>
    <font>
      <sz val="9"/>
      <color rgb="FFFF0000"/>
      <name val="Meiryo UI"/>
      <family val="3"/>
      <charset val="128"/>
    </font>
    <font>
      <sz val="10"/>
      <color rgb="FF00B0F0"/>
      <name val="Meiryo UI"/>
      <family val="3"/>
      <charset val="128"/>
    </font>
    <font>
      <sz val="11"/>
      <color theme="1"/>
      <name val="ＭＳ Ｐゴシック"/>
      <family val="3"/>
      <charset val="128"/>
      <scheme val="minor"/>
    </font>
    <font>
      <sz val="16"/>
      <color theme="1"/>
      <name val="Meiryo UI"/>
      <family val="3"/>
      <charset val="128"/>
    </font>
    <font>
      <sz val="26"/>
      <color theme="1"/>
      <name val="Meiryo UI"/>
      <family val="3"/>
      <charset val="128"/>
    </font>
    <font>
      <sz val="20"/>
      <color theme="1"/>
      <name val="Meiryo UI"/>
      <family val="3"/>
      <charset val="128"/>
    </font>
    <font>
      <sz val="13"/>
      <color theme="1"/>
      <name val="Meiryo UI"/>
      <family val="3"/>
      <charset val="128"/>
    </font>
    <font>
      <sz val="7"/>
      <color theme="1"/>
      <name val="Meiryo UI"/>
      <family val="3"/>
      <charset val="128"/>
    </font>
    <font>
      <b/>
      <sz val="11"/>
      <color theme="0"/>
      <name val="Meiryo UI"/>
      <family val="3"/>
      <charset val="128"/>
    </font>
    <font>
      <sz val="10"/>
      <color theme="0"/>
      <name val="Meiryo UI"/>
      <family val="3"/>
      <charset val="128"/>
    </font>
    <font>
      <sz val="14"/>
      <color theme="1"/>
      <name val="ＭＳ 明朝"/>
      <family val="1"/>
      <charset val="128"/>
    </font>
    <font>
      <sz val="6"/>
      <color theme="1"/>
      <name val="Meiryo UI"/>
      <family val="3"/>
      <charset val="128"/>
    </font>
    <font>
      <sz val="9"/>
      <color rgb="FFFF0000"/>
      <name val="Meiryo UI"/>
      <family val="3"/>
      <charset val="128"/>
    </font>
    <font>
      <b/>
      <sz val="9"/>
      <color indexed="81"/>
      <name val="MS P ゴシック"/>
      <charset val="128"/>
    </font>
    <font>
      <b/>
      <sz val="18"/>
      <color theme="1"/>
      <name val="ＭＳ Ｐ明朝"/>
      <family val="1"/>
      <charset val="128"/>
    </font>
    <font>
      <sz val="9.5"/>
      <color theme="1"/>
      <name val="ＭＳ 明朝"/>
      <family val="1"/>
      <charset val="128"/>
    </font>
    <font>
      <vertAlign val="superscript"/>
      <sz val="10"/>
      <color theme="1"/>
      <name val="ＭＳ Ｐ明朝"/>
      <family val="1"/>
      <charset val="128"/>
    </font>
    <font>
      <sz val="10"/>
      <color indexed="10"/>
      <name val="HG丸ｺﾞｼｯｸM-PRO"/>
      <family val="3"/>
      <charset val="128"/>
    </font>
    <font>
      <sz val="9"/>
      <color indexed="10"/>
      <name val="HG丸ｺﾞｼｯｸM-PRO"/>
      <family val="3"/>
      <charset val="128"/>
    </font>
    <font>
      <sz val="11"/>
      <color theme="1"/>
      <name val="ＭＳ 明朝"/>
      <family val="1"/>
      <charset val="128"/>
    </font>
    <font>
      <sz val="10.5"/>
      <color theme="1"/>
      <name val="ＭＳ 明朝"/>
      <family val="1"/>
      <charset val="128"/>
    </font>
    <font>
      <sz val="10"/>
      <color rgb="FFFF0000"/>
      <name val="ＭＳ 明朝"/>
      <family val="1"/>
      <charset val="128"/>
    </font>
    <font>
      <b/>
      <sz val="10"/>
      <color theme="1"/>
      <name val="ＭＳ 明朝"/>
      <family val="1"/>
      <charset val="128"/>
    </font>
    <font>
      <b/>
      <sz val="10.5"/>
      <color theme="1"/>
      <name val="ＭＳ Ｐ明朝"/>
      <family val="1"/>
      <charset val="128"/>
    </font>
    <font>
      <sz val="10.5"/>
      <color theme="1"/>
      <name val="ＭＳ Ｐ明朝"/>
      <family val="1"/>
      <charset val="128"/>
    </font>
    <font>
      <sz val="14"/>
      <color theme="1"/>
      <name val="ＭＳ 明朝"/>
      <family val="1"/>
      <charset val="128"/>
    </font>
    <font>
      <sz val="8"/>
      <color theme="1"/>
      <name val="Meiryo UI"/>
      <family val="3"/>
      <charset val="128"/>
    </font>
    <font>
      <sz val="9"/>
      <color indexed="8"/>
      <name val="Meiryo UI"/>
      <family val="3"/>
      <charset val="128"/>
    </font>
    <font>
      <b/>
      <sz val="12"/>
      <color theme="1"/>
      <name val="ＭＳ 明朝"/>
      <family val="1"/>
      <charset val="128"/>
    </font>
    <font>
      <u/>
      <sz val="11"/>
      <color theme="1"/>
      <name val="ＭＳ 明朝"/>
      <family val="1"/>
      <charset val="128"/>
    </font>
    <font>
      <b/>
      <sz val="11"/>
      <color theme="1"/>
      <name val="Meiryo UI"/>
      <family val="3"/>
      <charset val="128"/>
    </font>
    <font>
      <sz val="11"/>
      <color rgb="FFFF0000"/>
      <name val="Meiryo UI"/>
      <family val="3"/>
      <charset val="128"/>
    </font>
    <font>
      <sz val="10"/>
      <color rgb="FFFF0000"/>
      <name val="Meiryo UI"/>
      <family val="3"/>
      <charset val="128"/>
    </font>
    <font>
      <u/>
      <sz val="12"/>
      <color theme="1"/>
      <name val="ＭＳ Ｐゴシック"/>
      <family val="3"/>
      <charset val="128"/>
      <scheme val="minor"/>
    </font>
    <font>
      <sz val="12"/>
      <color indexed="10"/>
      <name val="Meiryo UI"/>
      <family val="3"/>
      <charset val="128"/>
    </font>
    <font>
      <sz val="11"/>
      <color indexed="10"/>
      <name val="Meiryo UI"/>
      <family val="3"/>
      <charset val="128"/>
    </font>
    <font>
      <b/>
      <u/>
      <sz val="10"/>
      <color theme="1"/>
      <name val="Meiryo UI"/>
      <family val="3"/>
      <charset val="128"/>
    </font>
    <font>
      <sz val="10"/>
      <color indexed="10"/>
      <name val="Meiryo UI"/>
      <family val="3"/>
      <charset val="128"/>
    </font>
    <font>
      <vertAlign val="superscript"/>
      <sz val="11"/>
      <color indexed="10"/>
      <name val="Meiryo UI"/>
      <family val="3"/>
      <charset val="128"/>
    </font>
    <font>
      <vertAlign val="superscript"/>
      <sz val="10"/>
      <color indexed="10"/>
      <name val="Meiryo UI"/>
      <family val="3"/>
      <charset val="128"/>
    </font>
    <font>
      <sz val="8"/>
      <color theme="1"/>
      <name val="ＭＳ 明朝"/>
      <family val="1"/>
      <charset val="128"/>
    </font>
    <font>
      <sz val="11"/>
      <color theme="1"/>
      <name val="HGMaruGothicMPRO"/>
      <family val="3"/>
      <charset val="128"/>
    </font>
    <font>
      <sz val="9"/>
      <color theme="1"/>
      <name val="ＭＳ 明朝"/>
      <family val="1"/>
      <charset val="128"/>
    </font>
    <font>
      <u/>
      <sz val="10"/>
      <color theme="1"/>
      <name val="ＭＳ 明朝"/>
      <family val="1"/>
      <charset val="128"/>
    </font>
    <font>
      <u/>
      <sz val="11"/>
      <color theme="10"/>
      <name val="ＭＳ Ｐゴシック"/>
      <family val="3"/>
      <charset val="128"/>
      <scheme val="minor"/>
    </font>
    <font>
      <u/>
      <sz val="11"/>
      <color theme="1"/>
      <name val="ＭＳ Ｐゴシック"/>
      <family val="3"/>
      <charset val="128"/>
      <scheme val="minor"/>
    </font>
    <font>
      <u/>
      <sz val="11"/>
      <color indexed="8"/>
      <name val="ＭＳ 明朝"/>
      <family val="1"/>
      <charset val="128"/>
    </font>
    <font>
      <sz val="9"/>
      <color indexed="81"/>
      <name val="MS P ゴシック"/>
      <family val="3"/>
      <charset val="128"/>
    </font>
    <font>
      <b/>
      <sz val="9"/>
      <color indexed="81"/>
      <name val="MS P ゴシック"/>
      <family val="3"/>
      <charset val="128"/>
    </font>
    <font>
      <sz val="10"/>
      <color rgb="FFFF0000"/>
      <name val="ＭＳ 明朝"/>
      <family val="1"/>
      <charset val="128"/>
    </font>
    <font>
      <sz val="9"/>
      <color rgb="FFFF0000"/>
      <name val="ＭＳ 明朝"/>
      <family val="1"/>
      <charset val="128"/>
    </font>
    <font>
      <b/>
      <sz val="11"/>
      <color theme="1"/>
      <name val="ＭＳ 明朝"/>
      <family val="1"/>
      <charset val="128"/>
    </font>
    <font>
      <b/>
      <sz val="12"/>
      <color theme="1"/>
      <name val="Meiryo UI"/>
      <family val="3"/>
      <charset val="128"/>
    </font>
    <font>
      <strike/>
      <sz val="12"/>
      <color theme="1"/>
      <name val="Meiryo UI"/>
      <family val="3"/>
      <charset val="128"/>
    </font>
    <font>
      <sz val="10"/>
      <color theme="1"/>
      <name val="BIZ UDPゴシック"/>
      <family val="3"/>
      <charset val="128"/>
    </font>
    <font>
      <b/>
      <sz val="9"/>
      <color theme="1"/>
      <name val="Osaka"/>
      <family val="3"/>
      <charset val="128"/>
    </font>
    <font>
      <strike/>
      <sz val="8"/>
      <color theme="1"/>
      <name val="ＭＳ Ｐ明朝"/>
      <family val="1"/>
      <charset val="128"/>
    </font>
    <font>
      <sz val="11"/>
      <color theme="1"/>
      <name val="ＭＳ Ｐゴシック"/>
      <family val="3"/>
      <charset val="128"/>
    </font>
    <font>
      <sz val="6"/>
      <name val="ＭＳ Ｐゴシック"/>
      <family val="3"/>
      <charset val="128"/>
    </font>
    <font>
      <sz val="8"/>
      <color theme="1"/>
      <name val="ＭＳ Ｐゴシック"/>
      <family val="3"/>
      <charset val="128"/>
    </font>
    <font>
      <b/>
      <sz val="11"/>
      <color theme="1"/>
      <name val="ＭＳ Ｐゴシック"/>
      <family val="3"/>
      <charset val="128"/>
    </font>
    <font>
      <sz val="20"/>
      <color theme="1"/>
      <name val="ＭＳ Ｐゴシック"/>
      <family val="3"/>
      <charset val="128"/>
    </font>
    <font>
      <b/>
      <sz val="12"/>
      <color theme="1"/>
      <name val="ＭＳ Ｐゴシック"/>
      <family val="3"/>
      <charset val="128"/>
    </font>
    <font>
      <sz val="36"/>
      <color theme="1"/>
      <name val="BIZ UDPゴシック"/>
      <family val="3"/>
      <charset val="128"/>
    </font>
    <font>
      <sz val="11"/>
      <color rgb="FF00B050"/>
      <name val="ＭＳ Ｐゴシック"/>
      <family val="3"/>
      <charset val="128"/>
    </font>
    <font>
      <sz val="11"/>
      <name val="ＭＳ Ｐゴシック"/>
      <family val="3"/>
      <charset val="128"/>
    </font>
    <font>
      <sz val="8"/>
      <name val="ＭＳ Ｐゴシック"/>
      <family val="3"/>
      <charset val="128"/>
    </font>
    <font>
      <sz val="12"/>
      <color theme="1"/>
      <name val="ＭＳ Ｐゴシック"/>
      <family val="3"/>
      <charset val="128"/>
    </font>
    <font>
      <b/>
      <sz val="9"/>
      <color theme="1"/>
      <name val="ＭＳ Ｐゴシック"/>
      <family val="3"/>
      <charset val="128"/>
    </font>
    <font>
      <sz val="14"/>
      <color theme="1"/>
      <name val="ＭＳ Ｐゴシック"/>
      <family val="3"/>
      <charset val="128"/>
    </font>
    <font>
      <b/>
      <sz val="12"/>
      <color theme="1"/>
      <name val="UD Digi Kyokasho NK-R"/>
      <family val="1"/>
      <charset val="128"/>
    </font>
    <font>
      <b/>
      <sz val="11"/>
      <color theme="1"/>
      <name val="BIZ UDゴシック"/>
      <family val="3"/>
      <charset val="128"/>
    </font>
    <font>
      <sz val="12"/>
      <color theme="1"/>
      <name val="BIZ UDPゴシック"/>
      <family val="3"/>
      <charset val="128"/>
    </font>
    <font>
      <sz val="11"/>
      <color theme="1"/>
      <name val="BIZ UDゴシック"/>
      <family val="3"/>
      <charset val="128"/>
    </font>
    <font>
      <b/>
      <sz val="16"/>
      <color theme="1"/>
      <name val="BIZ UDPゴシック"/>
      <family val="3"/>
      <charset val="128"/>
    </font>
    <font>
      <sz val="20"/>
      <color theme="1"/>
      <name val="BIZ UDPゴシック"/>
      <family val="3"/>
      <charset val="128"/>
    </font>
    <font>
      <sz val="9"/>
      <color theme="1"/>
      <name val="BIZ UDPゴシック"/>
      <family val="3"/>
      <charset val="128"/>
    </font>
    <font>
      <sz val="12"/>
      <color theme="1"/>
      <name val="BIZ UDゴシック"/>
      <family val="3"/>
      <charset val="128"/>
    </font>
    <font>
      <b/>
      <sz val="18"/>
      <color theme="1"/>
      <name val="BIZ UDPゴシック"/>
      <family val="3"/>
      <charset val="128"/>
    </font>
    <font>
      <b/>
      <sz val="14"/>
      <color theme="1"/>
      <name val="BIZ UDゴシック"/>
      <family val="3"/>
      <charset val="128"/>
    </font>
    <font>
      <b/>
      <sz val="12"/>
      <color rgb="FFFF0000"/>
      <name val="UD Digi Kyokasho NK-R"/>
      <family val="1"/>
      <charset val="128"/>
    </font>
    <font>
      <b/>
      <sz val="28"/>
      <color rgb="FFFF0000"/>
      <name val="UD Digi Kyokasho NK-R"/>
      <family val="1"/>
      <charset val="128"/>
    </font>
    <font>
      <b/>
      <sz val="16"/>
      <color rgb="FFFF0000"/>
      <name val="UD Digi Kyokasho NK-R"/>
      <family val="1"/>
      <charset val="128"/>
    </font>
    <font>
      <sz val="12"/>
      <color theme="1"/>
      <name val="ＭＳ Ｐゴシック"/>
      <family val="3"/>
      <charset val="128"/>
      <scheme val="major"/>
    </font>
    <font>
      <b/>
      <sz val="18"/>
      <color rgb="FFFF0000"/>
      <name val="UD Digi Kyokasho NK-R"/>
      <family val="1"/>
      <charset val="128"/>
    </font>
    <font>
      <sz val="11"/>
      <color rgb="FFFF0000"/>
      <name val="UD Digi Kyokasho NK-R"/>
      <family val="1"/>
      <charset val="128"/>
    </font>
    <font>
      <sz val="11"/>
      <color rgb="FFFF0000"/>
      <name val="ＭＳ Ｐゴシック"/>
      <family val="3"/>
      <charset val="128"/>
    </font>
    <font>
      <b/>
      <u/>
      <sz val="14"/>
      <color theme="10"/>
      <name val="BIZ UDゴシック"/>
      <family val="3"/>
      <charset val="128"/>
    </font>
    <font>
      <sz val="10"/>
      <color rgb="FFFF0000"/>
      <name val="UD Digi Kyokasho NK-R"/>
      <family val="1"/>
      <charset val="12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FF"/>
        <bgColor indexed="64"/>
      </patternFill>
    </fill>
    <fill>
      <patternFill patternType="solid">
        <fgColor rgb="FFFFFF66"/>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rgb="FFCCCCFF"/>
        <bgColor indexed="64"/>
      </patternFill>
    </fill>
    <fill>
      <patternFill patternType="solid">
        <fgColor rgb="FFFFFFC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59999389629810485"/>
        <bgColor indexed="64"/>
      </patternFill>
    </fill>
  </fills>
  <borders count="33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right/>
      <top/>
      <bottom style="thin">
        <color auto="1"/>
      </bottom>
      <diagonal/>
    </border>
    <border>
      <left/>
      <right/>
      <top style="hair">
        <color indexed="64"/>
      </top>
      <bottom style="hair">
        <color indexed="64"/>
      </bottom>
      <diagonal/>
    </border>
    <border>
      <left style="thin">
        <color rgb="FF00B0F0"/>
      </left>
      <right/>
      <top style="thick">
        <color rgb="FF00B0F0"/>
      </top>
      <bottom/>
      <diagonal/>
    </border>
    <border>
      <left style="thin">
        <color rgb="FF00B0F0"/>
      </left>
      <right/>
      <top/>
      <bottom/>
      <diagonal/>
    </border>
    <border>
      <left style="thin">
        <color rgb="FF00B0F0"/>
      </left>
      <right/>
      <top/>
      <bottom style="thin">
        <color rgb="FF00B0F0"/>
      </bottom>
      <diagonal/>
    </border>
    <border>
      <left style="thin">
        <color rgb="FF7030A0"/>
      </left>
      <right/>
      <top style="thick">
        <color rgb="FF7030A0"/>
      </top>
      <bottom/>
      <diagonal/>
    </border>
    <border>
      <left style="thin">
        <color rgb="FF7030A0"/>
      </left>
      <right/>
      <top/>
      <bottom/>
      <diagonal/>
    </border>
    <border>
      <left style="thin">
        <color rgb="FF7030A0"/>
      </left>
      <right/>
      <top style="thin">
        <color rgb="FF7030A0"/>
      </top>
      <bottom/>
      <diagonal/>
    </border>
    <border>
      <left style="thin">
        <color rgb="FF7030A0"/>
      </left>
      <right/>
      <top/>
      <bottom style="thin">
        <color rgb="FF7030A0"/>
      </bottom>
      <diagonal/>
    </border>
    <border>
      <left/>
      <right/>
      <top style="thick">
        <color theme="9"/>
      </top>
      <bottom/>
      <diagonal/>
    </border>
    <border>
      <left/>
      <right style="thick">
        <color theme="9"/>
      </right>
      <top style="thick">
        <color theme="9"/>
      </top>
      <bottom/>
      <diagonal/>
    </border>
    <border>
      <left/>
      <right style="thick">
        <color theme="9"/>
      </right>
      <top/>
      <bottom/>
      <diagonal/>
    </border>
    <border>
      <left style="thin">
        <color theme="9"/>
      </left>
      <right/>
      <top style="thick">
        <color theme="9"/>
      </top>
      <bottom/>
      <diagonal/>
    </border>
    <border>
      <left style="thin">
        <color theme="9"/>
      </left>
      <right/>
      <top/>
      <bottom/>
      <diagonal/>
    </border>
    <border>
      <left style="thin">
        <color theme="9"/>
      </left>
      <right/>
      <top style="thin">
        <color theme="9"/>
      </top>
      <bottom/>
      <diagonal/>
    </border>
    <border>
      <left style="thin">
        <color theme="9"/>
      </left>
      <right/>
      <top/>
      <bottom style="thin">
        <color theme="9"/>
      </bottom>
      <diagonal/>
    </border>
    <border>
      <left/>
      <right style="thin">
        <color theme="9"/>
      </right>
      <top style="thin">
        <color theme="9"/>
      </top>
      <bottom/>
      <diagonal/>
    </border>
    <border>
      <left style="thin">
        <color rgb="FF00B050"/>
      </left>
      <right/>
      <top style="thick">
        <color rgb="FF92D050"/>
      </top>
      <bottom/>
      <diagonal/>
    </border>
    <border>
      <left style="thin">
        <color rgb="FF00B050"/>
      </left>
      <right/>
      <top/>
      <bottom/>
      <diagonal/>
    </border>
    <border>
      <left style="thin">
        <color rgb="FF00B050"/>
      </left>
      <right/>
      <top style="thin">
        <color rgb="FF00B050"/>
      </top>
      <bottom/>
      <diagonal/>
    </border>
    <border>
      <left style="thin">
        <color rgb="FF00B050"/>
      </left>
      <right/>
      <top/>
      <bottom style="thin">
        <color rgb="FF00B05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dotted">
        <color theme="1" tint="0.499984740745262"/>
      </bottom>
      <diagonal/>
    </border>
    <border>
      <left/>
      <right/>
      <top/>
      <bottom style="dotted">
        <color theme="1" tint="0.499984740745262"/>
      </bottom>
      <diagonal/>
    </border>
    <border>
      <left style="dotted">
        <color theme="1" tint="0.499984740745262"/>
      </left>
      <right/>
      <top/>
      <bottom style="dotted">
        <color theme="1" tint="0.499984740745262"/>
      </bottom>
      <diagonal/>
    </border>
    <border>
      <left/>
      <right style="thin">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indexed="64"/>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style="dotted">
        <color theme="1" tint="0.499984740745262"/>
      </top>
      <bottom/>
      <diagonal/>
    </border>
    <border>
      <left/>
      <right/>
      <top style="dotted">
        <color theme="1" tint="0.499984740745262"/>
      </top>
      <bottom/>
      <diagonal/>
    </border>
    <border>
      <left/>
      <right style="thin">
        <color theme="1" tint="0.499984740745262"/>
      </right>
      <top style="dotted">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dotted">
        <color theme="1" tint="0.499984740745262"/>
      </left>
      <right/>
      <top style="dotted">
        <color theme="1" tint="0.499984740745262"/>
      </top>
      <bottom/>
      <diagonal/>
    </border>
    <border>
      <left style="dotted">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dotted">
        <color theme="1" tint="0.499984740745262"/>
      </bottom>
      <diagonal/>
    </border>
    <border>
      <left/>
      <right/>
      <top style="thin">
        <color theme="1" tint="0.499984740745262"/>
      </top>
      <bottom style="dotted">
        <color theme="1" tint="0.499984740745262"/>
      </bottom>
      <diagonal/>
    </border>
    <border>
      <left/>
      <right style="thin">
        <color theme="1" tint="0.499984740745262"/>
      </right>
      <top style="thin">
        <color theme="1" tint="0.499984740745262"/>
      </top>
      <bottom style="dotted">
        <color theme="1" tint="0.499984740745262"/>
      </bottom>
      <diagonal/>
    </border>
    <border>
      <left style="thin">
        <color theme="1" tint="0.499984740745262"/>
      </left>
      <right/>
      <top style="dotted">
        <color theme="1" tint="0.499984740745262"/>
      </top>
      <bottom style="thin">
        <color theme="1" tint="0.499984740745262"/>
      </bottom>
      <diagonal/>
    </border>
    <border>
      <left/>
      <right/>
      <top style="dotted">
        <color theme="1" tint="0.499984740745262"/>
      </top>
      <bottom style="thin">
        <color theme="1" tint="0.499984740745262"/>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top style="dotted">
        <color theme="1" tint="0.499984740745262"/>
      </top>
      <bottom style="thin">
        <color theme="1" tint="0.499984740745262"/>
      </bottom>
      <diagonal/>
    </border>
    <border>
      <left style="dotted">
        <color theme="1" tint="0.499984740745262"/>
      </left>
      <right/>
      <top style="thin">
        <color theme="1" tint="0.499984740745262"/>
      </top>
      <bottom/>
      <diagonal/>
    </border>
    <border>
      <left style="dotted">
        <color theme="1" tint="0.499984740745262"/>
      </left>
      <right/>
      <top/>
      <bottom/>
      <diagonal/>
    </border>
    <border>
      <left style="thin">
        <color theme="1" tint="0.499984740745262"/>
      </left>
      <right style="thin">
        <color theme="1" tint="0.499984740745262"/>
      </right>
      <top style="dotted">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style="thin">
        <color theme="1" tint="0.499984740745262"/>
      </left>
      <right style="thin">
        <color theme="1" tint="0.499984740745262"/>
      </right>
      <top/>
      <bottom style="dotted">
        <color theme="1" tint="0.499984740745262"/>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theme="1" tint="0.499984740745262"/>
      </left>
      <right/>
      <top style="thin">
        <color theme="1" tint="0.499984740745262"/>
      </top>
      <bottom style="dotted">
        <color theme="1" tint="0.499984740745262"/>
      </bottom>
      <diagonal/>
    </border>
    <border>
      <left/>
      <right/>
      <top style="thin">
        <color indexed="64"/>
      </top>
      <bottom/>
      <diagonal/>
    </border>
    <border>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thin">
        <color indexed="64"/>
      </left>
      <right style="thin">
        <color indexed="64"/>
      </right>
      <top/>
      <bottom/>
      <diagonal/>
    </border>
    <border>
      <left/>
      <right/>
      <top style="hair">
        <color indexed="64"/>
      </top>
      <bottom/>
      <diagonal/>
    </border>
    <border>
      <left style="double">
        <color indexed="64"/>
      </left>
      <right/>
      <top style="double">
        <color indexed="64"/>
      </top>
      <bottom/>
      <diagonal/>
    </border>
    <border>
      <left/>
      <right/>
      <top style="double">
        <color indexed="64"/>
      </top>
      <bottom/>
      <diagonal/>
    </border>
    <border>
      <left/>
      <right/>
      <top style="double">
        <color indexed="64"/>
      </top>
      <bottom style="thin">
        <color auto="1"/>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rgb="FFFF0000"/>
      </left>
      <right style="thin">
        <color rgb="FFFF0000"/>
      </right>
      <top style="thin">
        <color rgb="FFFF0000"/>
      </top>
      <bottom style="thin">
        <color rgb="FFFF0000"/>
      </bottom>
      <diagonal/>
    </border>
    <border>
      <left/>
      <right style="dotted">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thick">
        <color rgb="FFFF0000"/>
      </left>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auto="1"/>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top style="dotted">
        <color auto="1"/>
      </top>
      <bottom style="dotted">
        <color auto="1"/>
      </bottom>
      <diagonal/>
    </border>
    <border>
      <left/>
      <right style="dotted">
        <color auto="1"/>
      </right>
      <top style="dotted">
        <color auto="1"/>
      </top>
      <bottom style="dotted">
        <color auto="1"/>
      </bottom>
      <diagonal/>
    </border>
    <border>
      <left/>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00B0F0"/>
      </left>
      <right/>
      <top style="dotted">
        <color indexed="64"/>
      </top>
      <bottom style="dotted">
        <color indexed="64"/>
      </bottom>
      <diagonal/>
    </border>
    <border>
      <left/>
      <right style="thick">
        <color rgb="FF00B0F0"/>
      </right>
      <top style="dotted">
        <color indexed="64"/>
      </top>
      <bottom style="dotted">
        <color indexed="64"/>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dotted">
        <color auto="1"/>
      </left>
      <right style="dotted">
        <color auto="1"/>
      </right>
      <top style="dotted">
        <color auto="1"/>
      </top>
      <bottom style="dotted">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thin">
        <color rgb="FF00B0F0"/>
      </bottom>
      <diagonal/>
    </border>
    <border>
      <left/>
      <right style="thin">
        <color rgb="FF00B0F0"/>
      </right>
      <top/>
      <bottom style="thin">
        <color rgb="FF00B0F0"/>
      </bottom>
      <diagonal/>
    </border>
    <border>
      <left/>
      <right/>
      <top style="dotted">
        <color auto="1"/>
      </top>
      <bottom style="thick">
        <color rgb="FF00B0F0"/>
      </bottom>
      <diagonal/>
    </border>
    <border>
      <left/>
      <right style="thick">
        <color rgb="FF00B0F0"/>
      </right>
      <top style="dotted">
        <color indexed="64"/>
      </top>
      <bottom style="thick">
        <color rgb="FF00B0F0"/>
      </bottom>
      <diagonal/>
    </border>
    <border>
      <left style="thick">
        <color theme="9"/>
      </left>
      <right/>
      <top style="thick">
        <color theme="9"/>
      </top>
      <bottom style="dotted">
        <color auto="1"/>
      </bottom>
      <diagonal/>
    </border>
    <border>
      <left/>
      <right/>
      <top style="thick">
        <color theme="9"/>
      </top>
      <bottom style="dotted">
        <color auto="1"/>
      </bottom>
      <diagonal/>
    </border>
    <border>
      <left style="thick">
        <color theme="9"/>
      </left>
      <right/>
      <top style="dotted">
        <color auto="1"/>
      </top>
      <bottom style="dotted">
        <color auto="1"/>
      </bottom>
      <diagonal/>
    </border>
    <border>
      <left/>
      <right style="thick">
        <color theme="9"/>
      </right>
      <top style="thick">
        <color theme="9"/>
      </top>
      <bottom style="dotted">
        <color auto="1"/>
      </bottom>
      <diagonal/>
    </border>
    <border>
      <left/>
      <right style="thick">
        <color theme="9"/>
      </right>
      <top style="dotted">
        <color auto="1"/>
      </top>
      <bottom style="dotted">
        <color auto="1"/>
      </bottom>
      <diagonal/>
    </border>
    <border>
      <left/>
      <right/>
      <top style="dotted">
        <color indexed="64"/>
      </top>
      <bottom/>
      <diagonal/>
    </border>
    <border>
      <left/>
      <right/>
      <top/>
      <bottom style="dotted">
        <color indexed="64"/>
      </bottom>
      <diagonal/>
    </border>
    <border>
      <left/>
      <right/>
      <top style="thin">
        <color rgb="FF7030A0"/>
      </top>
      <bottom/>
      <diagonal/>
    </border>
    <border>
      <left/>
      <right style="thin">
        <color rgb="FF7030A0"/>
      </right>
      <top style="thin">
        <color rgb="FF7030A0"/>
      </top>
      <bottom/>
      <diagonal/>
    </border>
    <border>
      <left/>
      <right/>
      <top/>
      <bottom style="thin">
        <color rgb="FF7030A0"/>
      </bottom>
      <diagonal/>
    </border>
    <border>
      <left/>
      <right style="thin">
        <color rgb="FF7030A0"/>
      </right>
      <top/>
      <bottom style="thin">
        <color rgb="FF7030A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ck">
        <color theme="9"/>
      </left>
      <right/>
      <top style="dotted">
        <color auto="1"/>
      </top>
      <bottom style="thick">
        <color theme="9"/>
      </bottom>
      <diagonal/>
    </border>
    <border>
      <left/>
      <right/>
      <top style="dotted">
        <color auto="1"/>
      </top>
      <bottom style="thick">
        <color theme="9"/>
      </bottom>
      <diagonal/>
    </border>
    <border>
      <left/>
      <right style="thick">
        <color theme="9"/>
      </right>
      <top style="dotted">
        <color auto="1"/>
      </top>
      <bottom style="thick">
        <color theme="9"/>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theme="9"/>
      </left>
      <right/>
      <top style="thick">
        <color theme="9"/>
      </top>
      <bottom/>
      <diagonal/>
    </border>
    <border>
      <left style="thick">
        <color theme="9"/>
      </left>
      <right/>
      <top/>
      <bottom style="dotted">
        <color indexed="64"/>
      </bottom>
      <diagonal/>
    </border>
    <border>
      <left style="thick">
        <color theme="9"/>
      </left>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right/>
      <top style="thin">
        <color theme="9"/>
      </top>
      <bottom/>
      <diagonal/>
    </border>
    <border>
      <left/>
      <right/>
      <top/>
      <bottom style="thin">
        <color theme="9"/>
      </bottom>
      <diagonal/>
    </border>
    <border>
      <left/>
      <right style="thin">
        <color theme="9"/>
      </right>
      <top/>
      <bottom style="thin">
        <color theme="9"/>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top/>
      <bottom style="thick">
        <color rgb="FF92D050"/>
      </bottom>
      <diagonal/>
    </border>
    <border>
      <left/>
      <right style="thick">
        <color rgb="FF92D050"/>
      </right>
      <top/>
      <bottom style="thick">
        <color rgb="FF92D050"/>
      </bottom>
      <diagonal/>
    </border>
    <border>
      <left/>
      <right/>
      <top style="thin">
        <color rgb="FF00B050"/>
      </top>
      <bottom/>
      <diagonal/>
    </border>
    <border>
      <left/>
      <right style="thin">
        <color rgb="FF00B050"/>
      </right>
      <top style="thin">
        <color rgb="FF00B050"/>
      </top>
      <bottom/>
      <diagonal/>
    </border>
    <border>
      <left/>
      <right/>
      <top/>
      <bottom style="thin">
        <color rgb="FF00B050"/>
      </bottom>
      <diagonal/>
    </border>
    <border>
      <left/>
      <right style="thin">
        <color rgb="FF00B050"/>
      </right>
      <top/>
      <bottom style="thin">
        <color rgb="FF00B05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dotted">
        <color rgb="FFFF0000"/>
      </top>
      <bottom style="dotted">
        <color rgb="FFFF0000"/>
      </bottom>
      <diagonal/>
    </border>
    <border>
      <left/>
      <right/>
      <top style="dotted">
        <color rgb="FFFF0000"/>
      </top>
      <bottom style="dotted">
        <color rgb="FFFF0000"/>
      </bottom>
      <diagonal/>
    </border>
    <border>
      <left/>
      <right style="thin">
        <color indexed="64"/>
      </right>
      <top style="dotted">
        <color rgb="FFFF0000"/>
      </top>
      <bottom style="dotted">
        <color rgb="FFFF0000"/>
      </bottom>
      <diagonal/>
    </border>
    <border>
      <left style="thin">
        <color indexed="64"/>
      </left>
      <right/>
      <top style="dotted">
        <color rgb="FFFF0000"/>
      </top>
      <bottom style="dotted">
        <color rgb="FFFF0000"/>
      </bottom>
      <diagonal/>
    </border>
    <border>
      <left/>
      <right style="thin">
        <color rgb="FFFF0000"/>
      </right>
      <top style="dotted">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indexed="64"/>
      </right>
      <top style="dotted">
        <color rgb="FFFF0000"/>
      </top>
      <bottom style="thin">
        <color rgb="FFFF0000"/>
      </bottom>
      <diagonal/>
    </border>
    <border>
      <left style="thin">
        <color indexed="64"/>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indexed="64"/>
      </right>
      <top style="thin">
        <color rgb="FFFF0000"/>
      </top>
      <bottom style="dotted">
        <color rgb="FFFF0000"/>
      </bottom>
      <diagonal/>
    </border>
    <border>
      <left style="thin">
        <color indexed="64"/>
      </left>
      <right/>
      <top style="thin">
        <color rgb="FFFF0000"/>
      </top>
      <bottom style="dotted">
        <color rgb="FFFF0000"/>
      </bottom>
      <diagonal/>
    </border>
    <border>
      <left/>
      <right style="thin">
        <color rgb="FFFF0000"/>
      </right>
      <top style="thin">
        <color rgb="FFFF0000"/>
      </top>
      <bottom style="dotted">
        <color rgb="FFFF0000"/>
      </bottom>
      <diagonal/>
    </border>
    <border>
      <left style="hair">
        <color auto="1"/>
      </left>
      <right style="dotted">
        <color auto="1"/>
      </right>
      <top style="dotted">
        <color auto="1"/>
      </top>
      <bottom style="dotted">
        <color auto="1"/>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indexed="64"/>
      </bottom>
      <diagonal/>
    </border>
    <border>
      <left/>
      <right/>
      <top style="thin">
        <color theme="1" tint="0.499984740745262"/>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right style="medium">
        <color indexed="64"/>
      </right>
      <top/>
      <bottom style="thin">
        <color auto="1"/>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right/>
      <top/>
      <bottom style="double">
        <color auto="1"/>
      </bottom>
      <diagonal/>
    </border>
    <border>
      <left/>
      <right style="double">
        <color auto="1"/>
      </right>
      <top/>
      <bottom style="double">
        <color auto="1"/>
      </bottom>
      <diagonal/>
    </border>
    <border>
      <left style="double">
        <color auto="1"/>
      </left>
      <right/>
      <top/>
      <bottom style="double">
        <color auto="1"/>
      </bottom>
      <diagonal/>
    </border>
    <border>
      <left style="dotted">
        <color indexed="64"/>
      </left>
      <right/>
      <top/>
      <bottom style="medium">
        <color indexed="64"/>
      </bottom>
      <diagonal/>
    </border>
    <border>
      <left/>
      <right style="dotted">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s>
  <cellStyleXfs count="149">
    <xf numFmtId="0" fontId="0" fillId="0" borderId="0">
      <alignment vertical="center"/>
    </xf>
    <xf numFmtId="0" fontId="3" fillId="0" borderId="0">
      <alignment vertical="center"/>
    </xf>
    <xf numFmtId="0" fontId="25" fillId="0" borderId="0" applyNumberFormat="0" applyAlignment="0" applyProtection="0">
      <alignment vertical="center"/>
    </xf>
    <xf numFmtId="0" fontId="138" fillId="0" borderId="0">
      <alignment vertical="center"/>
    </xf>
    <xf numFmtId="0" fontId="7" fillId="0" borderId="0">
      <alignment vertical="center"/>
    </xf>
    <xf numFmtId="0" fontId="18" fillId="2" borderId="0" applyNumberFormat="0" applyAlignment="0" applyProtection="0">
      <alignment vertical="center"/>
    </xf>
    <xf numFmtId="0" fontId="18" fillId="3" borderId="0" applyNumberFormat="0" applyAlignment="0" applyProtection="0">
      <alignment vertical="center"/>
    </xf>
    <xf numFmtId="0" fontId="18" fillId="4" borderId="0" applyNumberFormat="0" applyAlignment="0" applyProtection="0">
      <alignment vertical="center"/>
    </xf>
    <xf numFmtId="0" fontId="18" fillId="5" borderId="0" applyNumberFormat="0" applyAlignment="0" applyProtection="0">
      <alignment vertical="center"/>
    </xf>
    <xf numFmtId="0" fontId="18" fillId="6" borderId="0" applyNumberFormat="0" applyAlignment="0" applyProtection="0">
      <alignment vertical="center"/>
    </xf>
    <xf numFmtId="0" fontId="18" fillId="7" borderId="0" applyNumberFormat="0" applyAlignment="0" applyProtection="0">
      <alignment vertical="center"/>
    </xf>
    <xf numFmtId="0" fontId="18" fillId="8" borderId="0" applyNumberFormat="0" applyAlignment="0" applyProtection="0">
      <alignment vertical="center"/>
    </xf>
    <xf numFmtId="0" fontId="18" fillId="9" borderId="0" applyNumberFormat="0" applyAlignment="0" applyProtection="0">
      <alignment vertical="center"/>
    </xf>
    <xf numFmtId="0" fontId="18" fillId="10" borderId="0" applyNumberFormat="0" applyAlignment="0" applyProtection="0">
      <alignment vertical="center"/>
    </xf>
    <xf numFmtId="0" fontId="18" fillId="5" borderId="0" applyNumberFormat="0" applyAlignment="0" applyProtection="0">
      <alignment vertical="center"/>
    </xf>
    <xf numFmtId="0" fontId="18" fillId="8" borderId="0" applyNumberFormat="0" applyAlignment="0" applyProtection="0">
      <alignment vertical="center"/>
    </xf>
    <xf numFmtId="0" fontId="18" fillId="11" borderId="0" applyNumberFormat="0" applyAlignment="0" applyProtection="0">
      <alignment vertical="center"/>
    </xf>
    <xf numFmtId="0" fontId="26" fillId="12" borderId="0" applyNumberFormat="0" applyAlignment="0" applyProtection="0">
      <alignment vertical="center"/>
    </xf>
    <xf numFmtId="0" fontId="26" fillId="9" borderId="0" applyNumberFormat="0" applyAlignment="0" applyProtection="0">
      <alignment vertical="center"/>
    </xf>
    <xf numFmtId="0" fontId="26" fillId="10" borderId="0" applyNumberFormat="0" applyAlignment="0" applyProtection="0">
      <alignment vertical="center"/>
    </xf>
    <xf numFmtId="0" fontId="26" fillId="13" borderId="0" applyNumberFormat="0" applyAlignment="0" applyProtection="0">
      <alignment vertical="center"/>
    </xf>
    <xf numFmtId="0" fontId="26" fillId="14" borderId="0" applyNumberFormat="0" applyAlignment="0" applyProtection="0">
      <alignment vertical="center"/>
    </xf>
    <xf numFmtId="0" fontId="26" fillId="15" borderId="0" applyNumberFormat="0" applyAlignment="0" applyProtection="0">
      <alignment vertical="center"/>
    </xf>
    <xf numFmtId="0" fontId="26" fillId="16" borderId="0" applyNumberFormat="0" applyAlignment="0" applyProtection="0">
      <alignment vertical="center"/>
    </xf>
    <xf numFmtId="0" fontId="26" fillId="17" borderId="0" applyNumberFormat="0" applyAlignment="0" applyProtection="0">
      <alignment vertical="center"/>
    </xf>
    <xf numFmtId="0" fontId="26" fillId="18" borderId="0" applyNumberFormat="0" applyAlignment="0" applyProtection="0">
      <alignment vertical="center"/>
    </xf>
    <xf numFmtId="0" fontId="26" fillId="13" borderId="0" applyNumberFormat="0" applyAlignment="0" applyProtection="0">
      <alignment vertical="center"/>
    </xf>
    <xf numFmtId="0" fontId="26" fillId="14" borderId="0" applyNumberFormat="0" applyAlignment="0" applyProtection="0">
      <alignment vertical="center"/>
    </xf>
    <xf numFmtId="0" fontId="26" fillId="19" borderId="0" applyNumberFormat="0" applyAlignment="0" applyProtection="0">
      <alignment vertical="center"/>
    </xf>
    <xf numFmtId="0" fontId="27" fillId="0" borderId="0" applyNumberFormat="0" applyAlignment="0" applyProtection="0">
      <alignment vertical="center"/>
    </xf>
    <xf numFmtId="0" fontId="28" fillId="20" borderId="1" applyNumberFormat="0" applyAlignment="0" applyProtection="0">
      <alignment vertical="center"/>
    </xf>
    <xf numFmtId="0" fontId="29" fillId="21" borderId="0" applyNumberFormat="0" applyAlignment="0" applyProtection="0">
      <alignment vertical="center"/>
    </xf>
    <xf numFmtId="9" fontId="138" fillId="0" borderId="0" applyFont="0" applyAlignment="0" applyProtection="0"/>
    <xf numFmtId="0" fontId="18" fillId="22" borderId="2" applyNumberFormat="0" applyFont="0" applyAlignment="0" applyProtection="0">
      <alignment vertical="center"/>
    </xf>
    <xf numFmtId="0" fontId="30" fillId="0" borderId="3" applyNumberFormat="0" applyAlignment="0" applyProtection="0">
      <alignment vertical="center"/>
    </xf>
    <xf numFmtId="0" fontId="31" fillId="3" borderId="0" applyNumberFormat="0" applyAlignment="0" applyProtection="0">
      <alignment vertical="center"/>
    </xf>
    <xf numFmtId="0" fontId="32" fillId="23" borderId="4" applyNumberFormat="0" applyAlignment="0" applyProtection="0">
      <alignment vertical="center"/>
    </xf>
    <xf numFmtId="0" fontId="16" fillId="0" borderId="0" applyNumberFormat="0" applyAlignment="0" applyProtection="0">
      <alignment vertical="center"/>
    </xf>
    <xf numFmtId="38" fontId="138" fillId="0" borderId="0" applyFont="0" applyAlignment="0" applyProtection="0"/>
    <xf numFmtId="0" fontId="33" fillId="0" borderId="5" applyNumberFormat="0" applyAlignment="0" applyProtection="0">
      <alignment vertical="center"/>
    </xf>
    <xf numFmtId="0" fontId="34" fillId="0" borderId="6" applyNumberFormat="0" applyAlignment="0" applyProtection="0">
      <alignment vertical="center"/>
    </xf>
    <xf numFmtId="0" fontId="35" fillId="0" borderId="7" applyNumberFormat="0" applyAlignment="0" applyProtection="0">
      <alignment vertical="center"/>
    </xf>
    <xf numFmtId="0" fontId="35" fillId="0" borderId="0" applyNumberFormat="0" applyAlignment="0" applyProtection="0">
      <alignment vertical="center"/>
    </xf>
    <xf numFmtId="0" fontId="36" fillId="0" borderId="8" applyNumberFormat="0" applyAlignment="0" applyProtection="0">
      <alignment vertical="center"/>
    </xf>
    <xf numFmtId="0" fontId="37" fillId="23" borderId="9" applyNumberFormat="0" applyAlignment="0" applyProtection="0">
      <alignment vertical="center"/>
    </xf>
    <xf numFmtId="0" fontId="38" fillId="0" borderId="0" applyNumberFormat="0" applyAlignment="0" applyProtection="0">
      <alignment vertical="center"/>
    </xf>
    <xf numFmtId="6" fontId="7" fillId="0" borderId="0" applyFont="0" applyAlignment="0" applyProtection="0">
      <alignment vertical="center"/>
    </xf>
    <xf numFmtId="6" fontId="138" fillId="0" borderId="0" applyFont="0" applyAlignment="0" applyProtection="0"/>
    <xf numFmtId="0" fontId="39" fillId="7" borderId="4" applyNumberFormat="0" applyAlignment="0" applyProtection="0">
      <alignment vertical="center"/>
    </xf>
    <xf numFmtId="0" fontId="14" fillId="0" borderId="0"/>
    <xf numFmtId="0" fontId="138" fillId="0" borderId="0">
      <alignment vertical="center"/>
    </xf>
    <xf numFmtId="0" fontId="138" fillId="0" borderId="0"/>
    <xf numFmtId="0" fontId="138" fillId="0" borderId="0"/>
    <xf numFmtId="0" fontId="138" fillId="0" borderId="0">
      <alignment vertical="center"/>
    </xf>
    <xf numFmtId="0" fontId="40" fillId="4" borderId="0" applyNumberFormat="0" applyAlignment="0" applyProtection="0">
      <alignment vertical="center"/>
    </xf>
    <xf numFmtId="0" fontId="18" fillId="0" borderId="0">
      <alignment vertical="center"/>
    </xf>
    <xf numFmtId="0" fontId="138" fillId="0" borderId="0">
      <alignment vertical="center"/>
    </xf>
    <xf numFmtId="0" fontId="14" fillId="0" borderId="0"/>
    <xf numFmtId="0" fontId="138" fillId="0" borderId="0"/>
    <xf numFmtId="9" fontId="138" fillId="0" borderId="0" applyFont="0" applyAlignment="0" applyProtection="0"/>
    <xf numFmtId="9" fontId="138" fillId="0" borderId="0" applyFont="0" applyAlignment="0" applyProtection="0">
      <alignment vertical="center"/>
    </xf>
    <xf numFmtId="6" fontId="4" fillId="0" borderId="0" applyFont="0" applyAlignment="0" applyProtection="0">
      <alignment vertical="center"/>
    </xf>
    <xf numFmtId="6" fontId="4" fillId="0" borderId="0" applyFont="0" applyAlignment="0" applyProtection="0">
      <alignment vertical="center"/>
    </xf>
    <xf numFmtId="6" fontId="4" fillId="0" borderId="0" applyFont="0" applyAlignment="0" applyProtection="0">
      <alignment vertical="center"/>
    </xf>
    <xf numFmtId="6" fontId="4" fillId="0" borderId="0" applyFont="0" applyAlignment="0" applyProtection="0">
      <alignment vertical="center"/>
    </xf>
    <xf numFmtId="6" fontId="4" fillId="0" borderId="0" applyFont="0" applyAlignment="0" applyProtection="0">
      <alignment vertical="center"/>
    </xf>
    <xf numFmtId="6" fontId="138" fillId="0" borderId="0" applyFont="0" applyAlignment="0" applyProtection="0"/>
    <xf numFmtId="6" fontId="4" fillId="0" borderId="0" applyFont="0" applyAlignment="0" applyProtection="0">
      <alignment vertical="center"/>
    </xf>
    <xf numFmtId="6" fontId="138" fillId="0" borderId="0" applyFont="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4" fillId="0" borderId="0"/>
    <xf numFmtId="0" fontId="3" fillId="0" borderId="0">
      <alignment vertical="center"/>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 fillId="0" borderId="0">
      <alignment vertical="center"/>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 fillId="0" borderId="0">
      <alignment vertical="center"/>
    </xf>
    <xf numFmtId="0" fontId="3" fillId="0" borderId="0">
      <alignment vertical="center"/>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alignment vertical="center"/>
    </xf>
    <xf numFmtId="0" fontId="138" fillId="0" borderId="0">
      <alignment vertical="center"/>
    </xf>
    <xf numFmtId="0" fontId="14" fillId="0" borderId="0"/>
    <xf numFmtId="0" fontId="138" fillId="0" borderId="0">
      <alignment vertical="center"/>
    </xf>
    <xf numFmtId="0" fontId="138" fillId="0" borderId="0">
      <alignment vertical="center"/>
    </xf>
    <xf numFmtId="0" fontId="138" fillId="0" borderId="0">
      <alignment vertical="center"/>
    </xf>
    <xf numFmtId="0" fontId="18" fillId="0" borderId="0">
      <alignment vertical="center"/>
    </xf>
    <xf numFmtId="0" fontId="14" fillId="0" borderId="0"/>
    <xf numFmtId="0" fontId="7" fillId="0" borderId="0">
      <alignment vertical="center"/>
    </xf>
    <xf numFmtId="0" fontId="138" fillId="0" borderId="0"/>
    <xf numFmtId="0" fontId="138" fillId="0" borderId="0"/>
    <xf numFmtId="0" fontId="43" fillId="0" borderId="0"/>
    <xf numFmtId="0" fontId="45" fillId="0" borderId="0">
      <alignment vertical="center"/>
    </xf>
    <xf numFmtId="0" fontId="53" fillId="0" borderId="0">
      <alignment vertical="center"/>
    </xf>
    <xf numFmtId="0" fontId="45" fillId="0" borderId="0">
      <alignment vertical="center"/>
    </xf>
    <xf numFmtId="0" fontId="58" fillId="0" borderId="0">
      <alignment vertical="center"/>
    </xf>
    <xf numFmtId="0" fontId="138" fillId="0" borderId="0">
      <alignment vertical="center"/>
    </xf>
    <xf numFmtId="0" fontId="3" fillId="0" borderId="0">
      <alignment vertical="center"/>
    </xf>
    <xf numFmtId="0" fontId="70" fillId="0" borderId="0"/>
    <xf numFmtId="0" fontId="83" fillId="0" borderId="0">
      <alignment vertical="center"/>
    </xf>
    <xf numFmtId="0" fontId="83" fillId="0" borderId="0"/>
    <xf numFmtId="0" fontId="45" fillId="0" borderId="0">
      <alignment vertical="center"/>
    </xf>
    <xf numFmtId="0" fontId="45" fillId="0" borderId="0">
      <alignment vertical="center"/>
    </xf>
    <xf numFmtId="0" fontId="45" fillId="0" borderId="0"/>
    <xf numFmtId="0" fontId="138" fillId="0" borderId="0">
      <alignment vertical="center"/>
    </xf>
    <xf numFmtId="0" fontId="125" fillId="0" borderId="0" applyNumberFormat="0" applyAlignment="0" applyProtection="0">
      <alignment vertical="center"/>
    </xf>
    <xf numFmtId="0" fontId="138" fillId="0" borderId="0"/>
    <xf numFmtId="0" fontId="70" fillId="0" borderId="0"/>
    <xf numFmtId="0" fontId="138" fillId="0" borderId="0">
      <alignment vertical="center"/>
    </xf>
    <xf numFmtId="0" fontId="125" fillId="0" borderId="0">
      <alignment vertical="center"/>
    </xf>
    <xf numFmtId="0" fontId="138" fillId="0" borderId="0">
      <alignment vertical="center"/>
    </xf>
    <xf numFmtId="0" fontId="138" fillId="0" borderId="0">
      <alignment vertical="center"/>
    </xf>
    <xf numFmtId="0" fontId="125" fillId="0" borderId="0">
      <alignment vertical="center"/>
    </xf>
    <xf numFmtId="0" fontId="138" fillId="0" borderId="0">
      <alignment vertical="center"/>
    </xf>
    <xf numFmtId="0" fontId="138" fillId="0" borderId="0">
      <alignment vertical="center"/>
    </xf>
    <xf numFmtId="0" fontId="138" fillId="0" borderId="0">
      <alignment vertical="center"/>
    </xf>
    <xf numFmtId="0" fontId="43" fillId="0" borderId="0"/>
    <xf numFmtId="0" fontId="138" fillId="0" borderId="0"/>
    <xf numFmtId="0" fontId="43" fillId="0" borderId="0"/>
    <xf numFmtId="0" fontId="2" fillId="0" borderId="0">
      <alignment vertical="center"/>
    </xf>
  </cellStyleXfs>
  <cellXfs count="2035">
    <xf numFmtId="0" fontId="0" fillId="0" borderId="0" xfId="0">
      <alignment vertical="center"/>
    </xf>
    <xf numFmtId="0" fontId="6" fillId="24" borderId="10" xfId="0" applyFont="1" applyFill="1" applyBorder="1" applyAlignment="1">
      <alignment vertical="center" wrapText="1"/>
    </xf>
    <xf numFmtId="0" fontId="6" fillId="25" borderId="10" xfId="0" applyFont="1" applyFill="1" applyBorder="1" applyAlignment="1">
      <alignment vertical="center" wrapText="1"/>
    </xf>
    <xf numFmtId="49" fontId="0" fillId="0" borderId="0" xfId="0" applyNumberFormat="1">
      <alignment vertical="center"/>
    </xf>
    <xf numFmtId="0" fontId="0" fillId="26" borderId="0" xfId="0" applyFill="1">
      <alignment vertical="center"/>
    </xf>
    <xf numFmtId="0" fontId="0" fillId="27" borderId="0" xfId="0" applyFill="1">
      <alignment vertical="center"/>
    </xf>
    <xf numFmtId="0" fontId="0" fillId="28" borderId="0" xfId="0" applyFill="1">
      <alignment vertical="center"/>
    </xf>
    <xf numFmtId="0" fontId="6" fillId="24" borderId="11" xfId="0" applyFont="1" applyFill="1" applyBorder="1" applyAlignment="1">
      <alignment vertical="center" wrapText="1"/>
    </xf>
    <xf numFmtId="0" fontId="6" fillId="24" borderId="12" xfId="0" applyFont="1" applyFill="1" applyBorder="1" applyAlignment="1">
      <alignment vertical="center" wrapText="1"/>
    </xf>
    <xf numFmtId="0" fontId="6" fillId="25" borderId="11" xfId="0" applyFont="1" applyFill="1" applyBorder="1" applyAlignment="1">
      <alignment vertical="center" wrapText="1"/>
    </xf>
    <xf numFmtId="0" fontId="7" fillId="0" borderId="0" xfId="0" applyFont="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16" fillId="0" borderId="0" xfId="0" applyFont="1" applyAlignment="1">
      <alignment horizontal="left" vertical="center"/>
    </xf>
    <xf numFmtId="0" fontId="6" fillId="0" borderId="0" xfId="0" applyFont="1">
      <alignment vertical="center"/>
    </xf>
    <xf numFmtId="0" fontId="6" fillId="0" borderId="0" xfId="0" applyFont="1" applyAlignment="1">
      <alignment horizontal="left" vertical="center"/>
    </xf>
    <xf numFmtId="0" fontId="3" fillId="0" borderId="0" xfId="1">
      <alignment vertical="center"/>
    </xf>
    <xf numFmtId="0" fontId="25" fillId="0" borderId="0" xfId="2" applyNumberFormat="1" applyAlignment="1" applyProtection="1">
      <alignment vertical="center"/>
    </xf>
    <xf numFmtId="0" fontId="15" fillId="0" borderId="0" xfId="1" applyFont="1" applyProtection="1">
      <alignment vertical="center"/>
      <protection locked="0"/>
    </xf>
    <xf numFmtId="0" fontId="25" fillId="0" borderId="0" xfId="2" applyNumberFormat="1" applyAlignment="1" applyProtection="1">
      <alignment horizontal="center" vertical="center"/>
    </xf>
    <xf numFmtId="0" fontId="0" fillId="0" borderId="0" xfId="1" applyFont="1" applyProtection="1">
      <alignment vertical="center"/>
      <protection locked="0"/>
    </xf>
    <xf numFmtId="49" fontId="3" fillId="0" borderId="0" xfId="1" applyNumberFormat="1">
      <alignment vertical="center"/>
    </xf>
    <xf numFmtId="0" fontId="17" fillId="0" borderId="0" xfId="1" applyFont="1">
      <alignment vertical="center"/>
    </xf>
    <xf numFmtId="0" fontId="3" fillId="0" borderId="0" xfId="1" applyAlignment="1">
      <alignment horizontal="center" vertical="center"/>
    </xf>
    <xf numFmtId="0" fontId="6" fillId="0" borderId="13" xfId="3" applyFont="1" applyBorder="1" applyProtection="1">
      <alignment vertical="center"/>
      <protection locked="0"/>
    </xf>
    <xf numFmtId="0" fontId="6" fillId="24" borderId="0" xfId="0" applyFont="1" applyFill="1" applyAlignment="1">
      <alignment vertical="center" wrapText="1"/>
    </xf>
    <xf numFmtId="0" fontId="6" fillId="24" borderId="14" xfId="0" applyFont="1" applyFill="1" applyBorder="1" applyAlignment="1">
      <alignment vertical="center" wrapText="1"/>
    </xf>
    <xf numFmtId="0" fontId="6" fillId="24" borderId="15" xfId="0" applyFont="1" applyFill="1" applyBorder="1" applyAlignment="1">
      <alignment vertical="center" wrapText="1"/>
    </xf>
    <xf numFmtId="0" fontId="6" fillId="24" borderId="10" xfId="0" applyFont="1" applyFill="1" applyBorder="1" applyAlignment="1">
      <alignment vertical="center" shrinkToFit="1"/>
    </xf>
    <xf numFmtId="0" fontId="6" fillId="24" borderId="12" xfId="0" applyFont="1" applyFill="1" applyBorder="1" applyAlignment="1">
      <alignment vertical="center" shrinkToFit="1"/>
    </xf>
    <xf numFmtId="0" fontId="6" fillId="29" borderId="0" xfId="0" applyFont="1" applyFill="1" applyAlignment="1">
      <alignment vertical="center" wrapText="1"/>
    </xf>
    <xf numFmtId="0" fontId="41" fillId="0" borderId="0" xfId="0" applyFont="1">
      <alignment vertical="center"/>
    </xf>
    <xf numFmtId="49" fontId="6" fillId="0" borderId="0" xfId="0" applyNumberFormat="1" applyFont="1" applyAlignment="1">
      <alignment horizontal="left" vertical="center"/>
    </xf>
    <xf numFmtId="0" fontId="6" fillId="0" borderId="0" xfId="0" applyFont="1" applyAlignment="1">
      <alignment horizontal="left" vertical="top"/>
    </xf>
    <xf numFmtId="0" fontId="6" fillId="0" borderId="0" xfId="0" applyFont="1" applyAlignment="1">
      <alignment horizontal="left" vertical="top" wrapText="1"/>
    </xf>
    <xf numFmtId="49" fontId="6" fillId="29" borderId="11" xfId="0" applyNumberFormat="1" applyFont="1" applyFill="1" applyBorder="1" applyAlignment="1">
      <alignment horizontal="left" vertical="center"/>
    </xf>
    <xf numFmtId="49" fontId="6" fillId="29" borderId="15" xfId="0" applyNumberFormat="1" applyFont="1" applyFill="1" applyBorder="1" applyAlignment="1">
      <alignment horizontal="left" vertical="center"/>
    </xf>
    <xf numFmtId="49" fontId="6" fillId="29" borderId="11" xfId="0" applyNumberFormat="1" applyFont="1" applyFill="1" applyBorder="1" applyAlignment="1">
      <alignment horizontal="left" vertical="top"/>
    </xf>
    <xf numFmtId="49" fontId="6" fillId="29" borderId="16" xfId="0" applyNumberFormat="1" applyFont="1" applyFill="1" applyBorder="1" applyAlignment="1">
      <alignment horizontal="left" vertical="center"/>
    </xf>
    <xf numFmtId="49" fontId="6" fillId="29" borderId="17" xfId="0" applyNumberFormat="1" applyFont="1" applyFill="1" applyBorder="1" applyAlignment="1">
      <alignment horizontal="left" vertical="center"/>
    </xf>
    <xf numFmtId="0" fontId="6" fillId="29" borderId="18" xfId="0" applyFont="1" applyFill="1" applyBorder="1">
      <alignment vertical="center"/>
    </xf>
    <xf numFmtId="0" fontId="6" fillId="24" borderId="18" xfId="0" applyFont="1" applyFill="1" applyBorder="1" applyAlignment="1">
      <alignment vertical="center" wrapText="1"/>
    </xf>
    <xf numFmtId="0" fontId="6" fillId="29" borderId="0" xfId="0" applyFont="1" applyFill="1">
      <alignment vertical="center"/>
    </xf>
    <xf numFmtId="0" fontId="6" fillId="24" borderId="16" xfId="0" applyFont="1" applyFill="1" applyBorder="1" applyAlignment="1">
      <alignment vertical="center" wrapText="1"/>
    </xf>
    <xf numFmtId="0" fontId="6" fillId="29" borderId="10" xfId="0" applyFont="1" applyFill="1" applyBorder="1" applyAlignment="1">
      <alignment vertical="center" wrapText="1"/>
    </xf>
    <xf numFmtId="0" fontId="6" fillId="29" borderId="14" xfId="0" applyFont="1" applyFill="1" applyBorder="1" applyAlignment="1">
      <alignment vertical="center" wrapText="1"/>
    </xf>
    <xf numFmtId="0" fontId="6" fillId="29" borderId="10" xfId="0" applyFont="1" applyFill="1" applyBorder="1">
      <alignment vertical="center"/>
    </xf>
    <xf numFmtId="0" fontId="6" fillId="29" borderId="14" xfId="0" applyFont="1" applyFill="1" applyBorder="1">
      <alignment vertical="center"/>
    </xf>
    <xf numFmtId="0" fontId="6" fillId="29" borderId="11" xfId="0" applyFont="1" applyFill="1" applyBorder="1">
      <alignment vertical="center"/>
    </xf>
    <xf numFmtId="0" fontId="6" fillId="29" borderId="12" xfId="0" applyFont="1" applyFill="1" applyBorder="1">
      <alignment vertical="center"/>
    </xf>
    <xf numFmtId="0" fontId="6" fillId="30" borderId="10" xfId="0" applyFont="1" applyFill="1" applyBorder="1" applyAlignment="1">
      <alignment vertical="center" wrapText="1"/>
    </xf>
    <xf numFmtId="0" fontId="6" fillId="30" borderId="14" xfId="0" applyFont="1" applyFill="1" applyBorder="1" applyAlignment="1">
      <alignment vertical="center" wrapText="1"/>
    </xf>
    <xf numFmtId="0" fontId="6" fillId="30" borderId="18" xfId="0" applyFont="1" applyFill="1" applyBorder="1" applyAlignment="1">
      <alignment vertical="center" wrapText="1"/>
    </xf>
    <xf numFmtId="0" fontId="6" fillId="30" borderId="19" xfId="0" applyFont="1" applyFill="1" applyBorder="1" applyAlignment="1">
      <alignment vertical="center" wrapText="1"/>
    </xf>
    <xf numFmtId="0" fontId="6" fillId="30" borderId="20" xfId="0" applyFont="1" applyFill="1" applyBorder="1" applyAlignment="1">
      <alignment vertical="center" wrapText="1"/>
    </xf>
    <xf numFmtId="0" fontId="6" fillId="0" borderId="0" xfId="0" applyFont="1" applyAlignment="1">
      <alignment horizontal="left" vertical="center" wrapText="1"/>
    </xf>
    <xf numFmtId="0" fontId="6" fillId="29" borderId="21" xfId="0" applyFont="1" applyFill="1" applyBorder="1" applyAlignment="1">
      <alignment vertical="center" wrapText="1"/>
    </xf>
    <xf numFmtId="0" fontId="6" fillId="30" borderId="17" xfId="0" applyFont="1" applyFill="1" applyBorder="1" applyAlignment="1">
      <alignment vertical="center" wrapText="1"/>
    </xf>
    <xf numFmtId="0" fontId="6" fillId="24" borderId="0" xfId="0" applyFont="1" applyFill="1">
      <alignment vertical="center"/>
    </xf>
    <xf numFmtId="0" fontId="6" fillId="30" borderId="11" xfId="0" applyFont="1" applyFill="1" applyBorder="1">
      <alignment vertical="center"/>
    </xf>
    <xf numFmtId="0" fontId="6" fillId="30" borderId="12" xfId="0" applyFont="1" applyFill="1" applyBorder="1">
      <alignment vertical="center"/>
    </xf>
    <xf numFmtId="0" fontId="6" fillId="29" borderId="22" xfId="0" applyFont="1" applyFill="1" applyBorder="1">
      <alignment vertical="center"/>
    </xf>
    <xf numFmtId="0" fontId="6" fillId="30" borderId="16" xfId="0" applyFont="1" applyFill="1" applyBorder="1" applyAlignment="1">
      <alignment horizontal="left" vertical="center"/>
    </xf>
    <xf numFmtId="0" fontId="7" fillId="31" borderId="0" xfId="0" applyFont="1" applyFill="1" applyAlignment="1">
      <alignment horizontal="left" vertical="center"/>
    </xf>
    <xf numFmtId="0" fontId="6" fillId="29" borderId="15" xfId="0" applyFont="1" applyFill="1" applyBorder="1">
      <alignment vertical="center"/>
    </xf>
    <xf numFmtId="0" fontId="6" fillId="24" borderId="23" xfId="0" applyFont="1" applyFill="1" applyBorder="1" applyAlignment="1">
      <alignment vertical="center" wrapText="1"/>
    </xf>
    <xf numFmtId="0" fontId="6" fillId="24" borderId="24" xfId="0" applyFont="1" applyFill="1" applyBorder="1" applyAlignment="1">
      <alignment vertical="center" wrapText="1"/>
    </xf>
    <xf numFmtId="0" fontId="6" fillId="24" borderId="17" xfId="0" applyFont="1" applyFill="1" applyBorder="1" applyAlignment="1">
      <alignment vertical="center" wrapText="1"/>
    </xf>
    <xf numFmtId="0" fontId="6" fillId="24" borderId="25" xfId="0" applyFont="1" applyFill="1" applyBorder="1" applyAlignment="1">
      <alignment vertical="center" wrapText="1"/>
    </xf>
    <xf numFmtId="0" fontId="6" fillId="24" borderId="26" xfId="0" applyFont="1" applyFill="1" applyBorder="1" applyAlignment="1">
      <alignment vertical="center" wrapText="1"/>
    </xf>
    <xf numFmtId="0" fontId="6" fillId="24" borderId="27" xfId="0" applyFont="1" applyFill="1" applyBorder="1" applyAlignment="1">
      <alignment vertical="center" wrapText="1"/>
    </xf>
    <xf numFmtId="49" fontId="6" fillId="29" borderId="26" xfId="0" applyNumberFormat="1" applyFont="1" applyFill="1" applyBorder="1">
      <alignment vertical="center"/>
    </xf>
    <xf numFmtId="0" fontId="6" fillId="29" borderId="26" xfId="0" applyFont="1" applyFill="1" applyBorder="1">
      <alignment vertical="center"/>
    </xf>
    <xf numFmtId="0" fontId="6" fillId="29" borderId="27" xfId="0" applyFont="1" applyFill="1" applyBorder="1">
      <alignment vertical="center"/>
    </xf>
    <xf numFmtId="0" fontId="6" fillId="30" borderId="26" xfId="0" applyFont="1" applyFill="1" applyBorder="1" applyAlignment="1">
      <alignment vertical="center" wrapText="1"/>
    </xf>
    <xf numFmtId="0" fontId="6" fillId="29" borderId="26" xfId="0" applyFont="1" applyFill="1" applyBorder="1" applyAlignment="1">
      <alignment vertical="center" wrapText="1"/>
    </xf>
    <xf numFmtId="49" fontId="6" fillId="29" borderId="26" xfId="0" applyNumberFormat="1" applyFont="1" applyFill="1" applyBorder="1" applyAlignment="1">
      <alignment horizontal="left" vertical="top"/>
    </xf>
    <xf numFmtId="49" fontId="6" fillId="29" borderId="26" xfId="0" applyNumberFormat="1" applyFont="1" applyFill="1" applyBorder="1" applyAlignment="1">
      <alignment horizontal="left" vertical="center"/>
    </xf>
    <xf numFmtId="0" fontId="41" fillId="29" borderId="27" xfId="0" applyFont="1" applyFill="1" applyBorder="1">
      <alignment vertical="center"/>
    </xf>
    <xf numFmtId="0" fontId="6" fillId="29" borderId="28" xfId="0" applyFont="1" applyFill="1" applyBorder="1">
      <alignment vertical="center"/>
    </xf>
    <xf numFmtId="0" fontId="6" fillId="24" borderId="26" xfId="0" applyFont="1" applyFill="1" applyBorder="1" applyAlignment="1">
      <alignment vertical="center" shrinkToFit="1"/>
    </xf>
    <xf numFmtId="0" fontId="6" fillId="29" borderId="11" xfId="0" applyFont="1" applyFill="1" applyBorder="1" applyAlignment="1">
      <alignment vertical="center" wrapText="1"/>
    </xf>
    <xf numFmtId="0" fontId="6" fillId="29" borderId="12" xfId="0" applyFont="1" applyFill="1" applyBorder="1" applyAlignment="1">
      <alignment vertical="center" wrapText="1"/>
    </xf>
    <xf numFmtId="0" fontId="6" fillId="29" borderId="27" xfId="0" applyFont="1" applyFill="1" applyBorder="1" applyAlignment="1">
      <alignment vertical="center" wrapText="1"/>
    </xf>
    <xf numFmtId="0" fontId="6" fillId="24" borderId="29" xfId="0" applyFont="1" applyFill="1" applyBorder="1" applyAlignment="1">
      <alignment vertical="center" wrapText="1"/>
    </xf>
    <xf numFmtId="0" fontId="6" fillId="24" borderId="10" xfId="0" applyFont="1" applyFill="1" applyBorder="1">
      <alignment vertical="center"/>
    </xf>
    <xf numFmtId="0" fontId="6" fillId="29" borderId="23" xfId="0" applyFont="1" applyFill="1" applyBorder="1">
      <alignment vertical="center"/>
    </xf>
    <xf numFmtId="49" fontId="6" fillId="24" borderId="11" xfId="0" applyNumberFormat="1" applyFont="1" applyFill="1" applyBorder="1">
      <alignment vertical="center"/>
    </xf>
    <xf numFmtId="49" fontId="6" fillId="24" borderId="11" xfId="0" applyNumberFormat="1" applyFont="1" applyFill="1" applyBorder="1" applyAlignment="1">
      <alignment vertical="center" shrinkToFit="1"/>
    </xf>
    <xf numFmtId="49" fontId="6" fillId="24" borderId="12" xfId="0" applyNumberFormat="1" applyFont="1" applyFill="1" applyBorder="1" applyAlignment="1">
      <alignment vertical="center" shrinkToFit="1"/>
    </xf>
    <xf numFmtId="49" fontId="6" fillId="24" borderId="16" xfId="0" applyNumberFormat="1" applyFont="1" applyFill="1" applyBorder="1">
      <alignment vertical="center"/>
    </xf>
    <xf numFmtId="49" fontId="6" fillId="24" borderId="25" xfId="0" applyNumberFormat="1" applyFont="1" applyFill="1" applyBorder="1" applyAlignment="1">
      <alignment vertical="center" shrinkToFit="1"/>
    </xf>
    <xf numFmtId="49" fontId="6" fillId="24" borderId="29" xfId="0" applyNumberFormat="1" applyFont="1" applyFill="1" applyBorder="1" applyAlignment="1">
      <alignment vertical="center" shrinkToFit="1"/>
    </xf>
    <xf numFmtId="49" fontId="6" fillId="24" borderId="30" xfId="0" applyNumberFormat="1" applyFont="1" applyFill="1" applyBorder="1" applyAlignment="1">
      <alignment vertical="center" shrinkToFit="1"/>
    </xf>
    <xf numFmtId="0" fontId="6" fillId="24" borderId="14" xfId="0" applyFont="1" applyFill="1" applyBorder="1" applyAlignment="1">
      <alignment vertical="center" shrinkToFit="1"/>
    </xf>
    <xf numFmtId="0" fontId="6" fillId="24" borderId="22" xfId="0" applyFont="1" applyFill="1" applyBorder="1" applyAlignment="1">
      <alignment vertical="center" shrinkToFit="1"/>
    </xf>
    <xf numFmtId="0" fontId="6" fillId="29" borderId="10" xfId="0" applyFont="1" applyFill="1" applyBorder="1" applyAlignment="1">
      <alignment vertical="center" shrinkToFit="1"/>
    </xf>
    <xf numFmtId="0" fontId="6" fillId="29" borderId="14" xfId="0" applyFont="1" applyFill="1" applyBorder="1" applyAlignment="1">
      <alignment vertical="center" shrinkToFit="1"/>
    </xf>
    <xf numFmtId="176" fontId="6" fillId="0" borderId="0" xfId="0" applyNumberFormat="1" applyFont="1" applyAlignment="1">
      <alignment horizontal="left" vertical="center"/>
    </xf>
    <xf numFmtId="0" fontId="15" fillId="29" borderId="24" xfId="1" applyFont="1" applyFill="1" applyBorder="1" applyProtection="1">
      <alignment vertical="center"/>
      <protection locked="0"/>
    </xf>
    <xf numFmtId="0" fontId="15" fillId="29" borderId="0" xfId="1" applyFont="1" applyFill="1" applyProtection="1">
      <alignment vertical="center"/>
      <protection locked="0"/>
    </xf>
    <xf numFmtId="0" fontId="15" fillId="29" borderId="11" xfId="1" applyFont="1" applyFill="1" applyBorder="1" applyProtection="1">
      <alignment vertical="center"/>
      <protection locked="0"/>
    </xf>
    <xf numFmtId="0" fontId="6" fillId="29" borderId="31" xfId="0" applyFont="1" applyFill="1" applyBorder="1">
      <alignment vertical="center"/>
    </xf>
    <xf numFmtId="49" fontId="6" fillId="0" borderId="0" xfId="0" applyNumberFormat="1" applyFont="1">
      <alignment vertical="center"/>
    </xf>
    <xf numFmtId="0" fontId="6" fillId="29" borderId="32" xfId="0" applyFont="1" applyFill="1" applyBorder="1">
      <alignment vertical="center"/>
    </xf>
    <xf numFmtId="177" fontId="6" fillId="0" borderId="0" xfId="0" applyNumberFormat="1" applyFont="1">
      <alignment vertical="center"/>
    </xf>
    <xf numFmtId="177" fontId="6" fillId="0" borderId="0" xfId="0" applyNumberFormat="1" applyFont="1" applyAlignment="1">
      <alignment horizontal="left" vertical="center"/>
    </xf>
    <xf numFmtId="0" fontId="6" fillId="29" borderId="24" xfId="0" applyFont="1" applyFill="1" applyBorder="1">
      <alignment vertical="center"/>
    </xf>
    <xf numFmtId="0" fontId="6" fillId="29" borderId="17" xfId="0" applyFont="1" applyFill="1" applyBorder="1">
      <alignment vertical="center"/>
    </xf>
    <xf numFmtId="0" fontId="6" fillId="30" borderId="14" xfId="0" applyFont="1" applyFill="1" applyBorder="1">
      <alignment vertical="center"/>
    </xf>
    <xf numFmtId="0" fontId="6" fillId="30" borderId="11" xfId="0" applyFont="1" applyFill="1" applyBorder="1" applyAlignment="1">
      <alignment vertical="center" wrapText="1"/>
    </xf>
    <xf numFmtId="0" fontId="6" fillId="30" borderId="26" xfId="0" applyFont="1" applyFill="1" applyBorder="1">
      <alignment vertical="center"/>
    </xf>
    <xf numFmtId="0" fontId="6" fillId="30" borderId="27" xfId="0" applyFont="1" applyFill="1" applyBorder="1" applyAlignment="1">
      <alignment vertical="center" wrapText="1"/>
    </xf>
    <xf numFmtId="0" fontId="6" fillId="29" borderId="26" xfId="0" applyFont="1" applyFill="1" applyBorder="1" applyAlignment="1">
      <alignment horizontal="left" vertical="center"/>
    </xf>
    <xf numFmtId="0" fontId="6" fillId="30" borderId="0" xfId="0" applyFont="1" applyFill="1">
      <alignment vertical="center"/>
    </xf>
    <xf numFmtId="0" fontId="6" fillId="30" borderId="12" xfId="0" applyFont="1" applyFill="1" applyBorder="1" applyAlignment="1">
      <alignment vertical="center" wrapText="1"/>
    </xf>
    <xf numFmtId="0" fontId="6" fillId="24" borderId="22" xfId="0" applyFont="1" applyFill="1" applyBorder="1" applyAlignment="1">
      <alignment vertical="center" wrapText="1"/>
    </xf>
    <xf numFmtId="0" fontId="6" fillId="0" borderId="0" xfId="0" applyFont="1" applyAlignment="1">
      <alignment horizontal="center"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lignment vertical="center"/>
    </xf>
    <xf numFmtId="0" fontId="6" fillId="32" borderId="36" xfId="0" applyFont="1" applyFill="1" applyBorder="1" applyAlignment="1">
      <alignment horizontal="left" vertical="center" wrapText="1"/>
    </xf>
    <xf numFmtId="0" fontId="6" fillId="0" borderId="37" xfId="0" applyFont="1"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xf>
    <xf numFmtId="0" fontId="6" fillId="0" borderId="35" xfId="0" applyFont="1" applyBorder="1" applyAlignment="1">
      <alignment horizontal="lef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21" xfId="0" applyFont="1" applyBorder="1" applyAlignment="1">
      <alignment vertical="center" wrapText="1"/>
    </xf>
    <xf numFmtId="0" fontId="6" fillId="0" borderId="32" xfId="0" applyFont="1" applyBorder="1" applyAlignment="1">
      <alignment vertical="center" wrapText="1"/>
    </xf>
    <xf numFmtId="0" fontId="6" fillId="29" borderId="26" xfId="0" applyFont="1" applyFill="1" applyBorder="1" applyAlignment="1">
      <alignment horizontal="left" vertical="center" wrapText="1"/>
    </xf>
    <xf numFmtId="0" fontId="6" fillId="25" borderId="14" xfId="0" applyFont="1" applyFill="1" applyBorder="1" applyAlignment="1">
      <alignment horizontal="right" vertical="center" wrapText="1"/>
    </xf>
    <xf numFmtId="0" fontId="6" fillId="25" borderId="26" xfId="0" applyFont="1" applyFill="1" applyBorder="1" applyAlignment="1">
      <alignment horizontal="left" vertical="center" wrapText="1"/>
    </xf>
    <xf numFmtId="0" fontId="6" fillId="29" borderId="27" xfId="0" applyFont="1" applyFill="1" applyBorder="1" applyAlignment="1">
      <alignment horizontal="left" vertical="center" wrapText="1"/>
    </xf>
    <xf numFmtId="0" fontId="6" fillId="24" borderId="15" xfId="0" applyFont="1" applyFill="1" applyBorder="1" applyAlignment="1">
      <alignment vertical="center" shrinkToFit="1"/>
    </xf>
    <xf numFmtId="0" fontId="6" fillId="24" borderId="17" xfId="0" applyFont="1" applyFill="1" applyBorder="1" applyAlignment="1">
      <alignment vertical="center" shrinkToFit="1"/>
    </xf>
    <xf numFmtId="0" fontId="6" fillId="24" borderId="18" xfId="0" applyFont="1" applyFill="1" applyBorder="1" applyAlignment="1">
      <alignment vertical="center" shrinkToFit="1"/>
    </xf>
    <xf numFmtId="49" fontId="6" fillId="24" borderId="25" xfId="0" applyNumberFormat="1" applyFont="1" applyFill="1" applyBorder="1">
      <alignment vertical="center"/>
    </xf>
    <xf numFmtId="0" fontId="6" fillId="29" borderId="18" xfId="0" applyFont="1" applyFill="1" applyBorder="1" applyAlignment="1">
      <alignment vertical="center" wrapText="1"/>
    </xf>
    <xf numFmtId="49" fontId="6" fillId="29" borderId="18" xfId="0" applyNumberFormat="1" applyFont="1" applyFill="1" applyBorder="1" applyAlignment="1">
      <alignment vertical="center" wrapText="1"/>
    </xf>
    <xf numFmtId="0" fontId="6" fillId="29" borderId="20" xfId="0" applyFont="1" applyFill="1" applyBorder="1" applyAlignment="1">
      <alignment vertical="center" wrapText="1"/>
    </xf>
    <xf numFmtId="0" fontId="6" fillId="29" borderId="0" xfId="0" applyFont="1" applyFill="1" applyAlignment="1">
      <alignment horizontal="left" vertical="center"/>
    </xf>
    <xf numFmtId="0" fontId="24" fillId="0" borderId="0" xfId="0" applyFont="1">
      <alignment vertical="center"/>
    </xf>
    <xf numFmtId="49" fontId="6" fillId="32" borderId="10" xfId="0" applyNumberFormat="1" applyFont="1" applyFill="1" applyBorder="1" applyAlignment="1">
      <alignment horizontal="left" vertical="center"/>
    </xf>
    <xf numFmtId="0" fontId="6" fillId="32" borderId="14" xfId="0" applyFont="1" applyFill="1" applyBorder="1">
      <alignment vertical="center"/>
    </xf>
    <xf numFmtId="49" fontId="6" fillId="32" borderId="11" xfId="0" applyNumberFormat="1" applyFont="1" applyFill="1" applyBorder="1" applyAlignment="1">
      <alignment horizontal="left" vertical="center"/>
    </xf>
    <xf numFmtId="49" fontId="6" fillId="32" borderId="12" xfId="0" applyNumberFormat="1" applyFont="1" applyFill="1" applyBorder="1" applyAlignment="1">
      <alignment horizontal="left" vertical="center"/>
    </xf>
    <xf numFmtId="0" fontId="6" fillId="32" borderId="26" xfId="0" applyFont="1" applyFill="1" applyBorder="1">
      <alignment vertical="center"/>
    </xf>
    <xf numFmtId="0" fontId="6" fillId="32" borderId="27" xfId="0" applyFont="1" applyFill="1" applyBorder="1">
      <alignment vertical="center"/>
    </xf>
    <xf numFmtId="0" fontId="6" fillId="33" borderId="23" xfId="0" applyFont="1" applyFill="1" applyBorder="1">
      <alignment vertical="center"/>
    </xf>
    <xf numFmtId="0" fontId="6" fillId="33" borderId="24" xfId="0" applyFont="1" applyFill="1" applyBorder="1">
      <alignment vertical="center"/>
    </xf>
    <xf numFmtId="49" fontId="6" fillId="32" borderId="16" xfId="0" applyNumberFormat="1" applyFont="1" applyFill="1" applyBorder="1" applyAlignment="1">
      <alignment vertical="center" wrapText="1"/>
    </xf>
    <xf numFmtId="49" fontId="6" fillId="32" borderId="17" xfId="0" applyNumberFormat="1" applyFont="1" applyFill="1" applyBorder="1" applyAlignment="1">
      <alignment vertical="center" wrapText="1"/>
    </xf>
    <xf numFmtId="49" fontId="6" fillId="32" borderId="25" xfId="0" applyNumberFormat="1" applyFont="1" applyFill="1" applyBorder="1" applyAlignment="1">
      <alignment vertical="center" wrapText="1"/>
    </xf>
    <xf numFmtId="49" fontId="6" fillId="32" borderId="41" xfId="0" applyNumberFormat="1" applyFont="1" applyFill="1" applyBorder="1" applyAlignment="1">
      <alignment vertical="center" wrapText="1"/>
    </xf>
    <xf numFmtId="0" fontId="6" fillId="32" borderId="16" xfId="0" applyFont="1" applyFill="1" applyBorder="1" applyAlignment="1">
      <alignment vertical="center" wrapText="1"/>
    </xf>
    <xf numFmtId="0" fontId="6" fillId="32" borderId="17" xfId="0" applyFont="1" applyFill="1" applyBorder="1" applyAlignment="1">
      <alignment vertical="center" wrapText="1"/>
    </xf>
    <xf numFmtId="0" fontId="6" fillId="32" borderId="25" xfId="0" applyFont="1" applyFill="1" applyBorder="1" applyAlignment="1">
      <alignment vertical="center" wrapText="1"/>
    </xf>
    <xf numFmtId="0" fontId="6" fillId="32" borderId="41" xfId="0" applyFont="1" applyFill="1" applyBorder="1" applyAlignment="1">
      <alignment vertical="center" wrapText="1"/>
    </xf>
    <xf numFmtId="49" fontId="6" fillId="32" borderId="11" xfId="0" applyNumberFormat="1" applyFont="1" applyFill="1" applyBorder="1">
      <alignment vertical="center"/>
    </xf>
    <xf numFmtId="49" fontId="6" fillId="32" borderId="15" xfId="0" applyNumberFormat="1" applyFont="1" applyFill="1" applyBorder="1" applyAlignment="1">
      <alignment vertical="center" wrapText="1"/>
    </xf>
    <xf numFmtId="0" fontId="6" fillId="32" borderId="11" xfId="0" applyFont="1" applyFill="1" applyBorder="1" applyAlignment="1">
      <alignment vertical="center" wrapText="1"/>
    </xf>
    <xf numFmtId="0" fontId="6" fillId="32" borderId="26" xfId="0" applyFont="1" applyFill="1" applyBorder="1" applyAlignment="1">
      <alignment horizontal="left" vertical="center" wrapText="1"/>
    </xf>
    <xf numFmtId="0" fontId="6" fillId="32" borderId="12" xfId="0" applyFont="1" applyFill="1" applyBorder="1" applyAlignment="1">
      <alignment vertical="center" wrapText="1"/>
    </xf>
    <xf numFmtId="0" fontId="6" fillId="32" borderId="27" xfId="0" applyFont="1" applyFill="1" applyBorder="1" applyAlignment="1">
      <alignment horizontal="right" vertical="center" wrapText="1"/>
    </xf>
    <xf numFmtId="0" fontId="6" fillId="29" borderId="21" xfId="0" applyFont="1" applyFill="1" applyBorder="1">
      <alignment vertical="center"/>
    </xf>
    <xf numFmtId="0" fontId="6" fillId="29" borderId="16" xfId="0" applyFont="1" applyFill="1" applyBorder="1">
      <alignment vertical="center"/>
    </xf>
    <xf numFmtId="0" fontId="6" fillId="29" borderId="25" xfId="0" applyFont="1" applyFill="1" applyBorder="1">
      <alignment vertical="center"/>
    </xf>
    <xf numFmtId="49" fontId="6" fillId="29" borderId="10" xfId="0" applyNumberFormat="1" applyFont="1" applyFill="1" applyBorder="1" applyAlignment="1">
      <alignment horizontal="left" vertical="center"/>
    </xf>
    <xf numFmtId="0" fontId="6" fillId="29" borderId="12" xfId="0" applyFont="1" applyFill="1" applyBorder="1" applyAlignment="1">
      <alignment horizontal="left" vertical="center"/>
    </xf>
    <xf numFmtId="0" fontId="6" fillId="29" borderId="14" xfId="0" applyFont="1" applyFill="1" applyBorder="1" applyAlignment="1">
      <alignment horizontal="left" vertical="center"/>
    </xf>
    <xf numFmtId="49" fontId="6" fillId="29" borderId="23" xfId="0" applyNumberFormat="1" applyFont="1" applyFill="1" applyBorder="1">
      <alignment vertical="center"/>
    </xf>
    <xf numFmtId="0" fontId="6" fillId="32" borderId="18" xfId="0" applyFont="1" applyFill="1" applyBorder="1">
      <alignment vertical="center"/>
    </xf>
    <xf numFmtId="0" fontId="6" fillId="0" borderId="42" xfId="0" applyFont="1" applyBorder="1">
      <alignment vertical="center"/>
    </xf>
    <xf numFmtId="0" fontId="6" fillId="0" borderId="43" xfId="0" applyFont="1" applyBorder="1">
      <alignment vertical="center"/>
    </xf>
    <xf numFmtId="0" fontId="6" fillId="0" borderId="44" xfId="0" applyFont="1" applyBorder="1">
      <alignment vertical="center"/>
    </xf>
    <xf numFmtId="0" fontId="6" fillId="0" borderId="36" xfId="0" applyFont="1" applyBorder="1" applyAlignment="1">
      <alignment horizontal="center" vertical="center"/>
    </xf>
    <xf numFmtId="0" fontId="6" fillId="0" borderId="22" xfId="0" applyFont="1" applyBorder="1">
      <alignment vertical="center"/>
    </xf>
    <xf numFmtId="0" fontId="6" fillId="0" borderId="12" xfId="0" applyFont="1" applyBorder="1">
      <alignment vertical="center"/>
    </xf>
    <xf numFmtId="184" fontId="6" fillId="0" borderId="0" xfId="0" applyNumberFormat="1" applyFont="1">
      <alignment vertical="center"/>
    </xf>
    <xf numFmtId="0" fontId="6" fillId="29" borderId="45" xfId="0" applyFont="1" applyFill="1" applyBorder="1">
      <alignment vertical="center"/>
    </xf>
    <xf numFmtId="49" fontId="6" fillId="29" borderId="16" xfId="0" applyNumberFormat="1" applyFont="1" applyFill="1" applyBorder="1">
      <alignment vertical="center"/>
    </xf>
    <xf numFmtId="49" fontId="6" fillId="29" borderId="11" xfId="0" applyNumberFormat="1" applyFont="1" applyFill="1" applyBorder="1">
      <alignment vertical="center"/>
    </xf>
    <xf numFmtId="49" fontId="6" fillId="29" borderId="25" xfId="0" applyNumberFormat="1" applyFont="1" applyFill="1" applyBorder="1">
      <alignment vertical="center"/>
    </xf>
    <xf numFmtId="49" fontId="6" fillId="29" borderId="12" xfId="0" applyNumberFormat="1" applyFont="1" applyFill="1" applyBorder="1">
      <alignment vertical="center"/>
    </xf>
    <xf numFmtId="0" fontId="7" fillId="29" borderId="0" xfId="0" applyFont="1" applyFill="1">
      <alignment vertical="center"/>
    </xf>
    <xf numFmtId="0" fontId="7" fillId="31" borderId="0" xfId="0" applyFont="1" applyFill="1">
      <alignment vertical="center"/>
    </xf>
    <xf numFmtId="185" fontId="6" fillId="0" borderId="0" xfId="0" applyNumberFormat="1" applyFont="1" applyAlignment="1">
      <alignment horizontal="center" vertical="center"/>
    </xf>
    <xf numFmtId="178" fontId="6" fillId="0" borderId="0" xfId="0" applyNumberFormat="1" applyFont="1" applyAlignment="1">
      <alignment horizontal="left" vertical="center"/>
    </xf>
    <xf numFmtId="49" fontId="6" fillId="30" borderId="11" xfId="0" applyNumberFormat="1" applyFont="1" applyFill="1" applyBorder="1">
      <alignment vertical="center"/>
    </xf>
    <xf numFmtId="49" fontId="6" fillId="30" borderId="11" xfId="0" applyNumberFormat="1" applyFont="1" applyFill="1" applyBorder="1" applyAlignment="1">
      <alignment vertical="center" wrapText="1"/>
    </xf>
    <xf numFmtId="0" fontId="6" fillId="0" borderId="0" xfId="1" applyFont="1" applyProtection="1">
      <alignment vertical="center"/>
      <protection locked="0"/>
    </xf>
    <xf numFmtId="49" fontId="6" fillId="0" borderId="0" xfId="1" applyNumberFormat="1" applyFont="1" applyProtection="1">
      <alignment vertical="center"/>
      <protection locked="0"/>
    </xf>
    <xf numFmtId="0" fontId="41" fillId="29" borderId="12" xfId="0" applyFont="1" applyFill="1" applyBorder="1">
      <alignment vertical="center"/>
    </xf>
    <xf numFmtId="0" fontId="6" fillId="33" borderId="11" xfId="0" applyFont="1" applyFill="1" applyBorder="1" applyAlignment="1">
      <alignment vertical="center" wrapText="1"/>
    </xf>
    <xf numFmtId="0" fontId="6" fillId="33" borderId="15" xfId="0" applyFont="1" applyFill="1" applyBorder="1" applyAlignment="1">
      <alignment vertical="center" wrapText="1"/>
    </xf>
    <xf numFmtId="0" fontId="6" fillId="0" borderId="11" xfId="0" applyFont="1" applyBorder="1" applyAlignment="1">
      <alignment vertical="center" wrapText="1"/>
    </xf>
    <xf numFmtId="0" fontId="6" fillId="0" borderId="15" xfId="0" applyFont="1" applyBorder="1" applyAlignment="1">
      <alignment vertical="center" wrapText="1"/>
    </xf>
    <xf numFmtId="0" fontId="0" fillId="0" borderId="0" xfId="0" applyAlignment="1">
      <alignment horizontal="left" vertical="center"/>
    </xf>
    <xf numFmtId="0" fontId="6" fillId="29" borderId="15" xfId="0" applyFont="1" applyFill="1" applyBorder="1" applyAlignment="1">
      <alignment horizontal="left" vertical="center" wrapText="1"/>
    </xf>
    <xf numFmtId="176" fontId="0" fillId="0" borderId="0" xfId="0" applyNumberFormat="1" applyAlignment="1">
      <alignment horizontal="left" vertical="center"/>
    </xf>
    <xf numFmtId="0" fontId="6" fillId="32" borderId="46" xfId="0" applyFont="1" applyFill="1" applyBorder="1" applyAlignment="1">
      <alignment vertical="center" wrapText="1"/>
    </xf>
    <xf numFmtId="0" fontId="6" fillId="32" borderId="13" xfId="0" applyFont="1" applyFill="1" applyBorder="1" applyAlignment="1">
      <alignment vertical="center" wrapText="1"/>
    </xf>
    <xf numFmtId="0" fontId="6" fillId="29" borderId="13" xfId="0" applyFont="1" applyFill="1" applyBorder="1">
      <alignment vertical="center"/>
    </xf>
    <xf numFmtId="0" fontId="6" fillId="29" borderId="46" xfId="0" applyFont="1" applyFill="1" applyBorder="1" applyAlignment="1">
      <alignment vertical="center" wrapText="1"/>
    </xf>
    <xf numFmtId="0" fontId="6" fillId="32" borderId="13" xfId="0" applyFont="1" applyFill="1" applyBorder="1">
      <alignment vertical="center"/>
    </xf>
    <xf numFmtId="0" fontId="6" fillId="32" borderId="32" xfId="0" applyFont="1" applyFill="1" applyBorder="1" applyAlignment="1">
      <alignment vertical="center" wrapText="1"/>
    </xf>
    <xf numFmtId="0" fontId="6" fillId="29" borderId="47" xfId="0" applyFont="1" applyFill="1" applyBorder="1" applyAlignment="1">
      <alignment horizontal="left" vertical="center" wrapText="1"/>
    </xf>
    <xf numFmtId="0" fontId="6" fillId="32" borderId="11" xfId="0" applyFont="1" applyFill="1" applyBorder="1">
      <alignment vertical="center"/>
    </xf>
    <xf numFmtId="0" fontId="6" fillId="32" borderId="15" xfId="0" applyFont="1" applyFill="1" applyBorder="1" applyAlignment="1">
      <alignment vertical="center" wrapText="1"/>
    </xf>
    <xf numFmtId="0" fontId="6" fillId="32" borderId="18" xfId="0" applyFont="1" applyFill="1" applyBorder="1" applyAlignment="1">
      <alignment horizontal="left" vertical="center" wrapText="1"/>
    </xf>
    <xf numFmtId="182" fontId="6" fillId="29" borderId="0" xfId="0" applyNumberFormat="1" applyFont="1" applyFill="1" applyAlignment="1">
      <alignment horizontal="left" vertical="center"/>
    </xf>
    <xf numFmtId="49" fontId="6" fillId="29" borderId="0" xfId="0" applyNumberFormat="1" applyFont="1" applyFill="1" applyAlignment="1">
      <alignment horizontal="left" vertical="center"/>
    </xf>
    <xf numFmtId="49" fontId="6" fillId="29" borderId="0" xfId="0" applyNumberFormat="1" applyFont="1" applyFill="1">
      <alignment vertical="center"/>
    </xf>
    <xf numFmtId="176" fontId="6" fillId="29" borderId="0" xfId="0" applyNumberFormat="1" applyFont="1" applyFill="1" applyAlignment="1">
      <alignment horizontal="left" vertical="center"/>
    </xf>
    <xf numFmtId="0" fontId="6" fillId="32" borderId="0" xfId="0" applyFont="1" applyFill="1" applyAlignment="1">
      <alignment horizontal="left" vertical="center"/>
    </xf>
    <xf numFmtId="0" fontId="0" fillId="32" borderId="0" xfId="0" applyFill="1" applyAlignment="1">
      <alignment horizontal="left" vertical="center"/>
    </xf>
    <xf numFmtId="182" fontId="6" fillId="32" borderId="0" xfId="0" applyNumberFormat="1" applyFont="1" applyFill="1" applyAlignment="1">
      <alignment horizontal="left" vertical="center"/>
    </xf>
    <xf numFmtId="0" fontId="6" fillId="30" borderId="0" xfId="0" applyFont="1" applyFill="1" applyAlignment="1">
      <alignment horizontal="left" vertical="center"/>
    </xf>
    <xf numFmtId="0" fontId="6" fillId="29" borderId="0" xfId="0" applyFont="1" applyFill="1" applyAlignment="1">
      <alignment horizontal="left" vertical="center" wrapText="1"/>
    </xf>
    <xf numFmtId="49" fontId="6" fillId="30" borderId="0" xfId="0" applyNumberFormat="1" applyFont="1" applyFill="1" applyAlignment="1">
      <alignment horizontal="left" vertical="center"/>
    </xf>
    <xf numFmtId="49" fontId="6" fillId="29" borderId="0" xfId="1" applyNumberFormat="1" applyFont="1" applyFill="1" applyProtection="1">
      <alignment vertical="center"/>
      <protection locked="0"/>
    </xf>
    <xf numFmtId="49" fontId="15" fillId="29" borderId="0" xfId="1" applyNumberFormat="1" applyFont="1" applyFill="1" applyProtection="1">
      <alignment vertical="center"/>
      <protection locked="0"/>
    </xf>
    <xf numFmtId="0" fontId="41" fillId="29" borderId="0" xfId="0" applyFont="1" applyFill="1">
      <alignment vertical="center"/>
    </xf>
    <xf numFmtId="0" fontId="6" fillId="29" borderId="0" xfId="1" applyFont="1" applyFill="1" applyProtection="1">
      <alignment vertical="center"/>
      <protection locked="0"/>
    </xf>
    <xf numFmtId="49" fontId="6" fillId="29" borderId="0" xfId="0" applyNumberFormat="1" applyFont="1" applyFill="1" applyAlignment="1">
      <alignment horizontal="left" vertical="top"/>
    </xf>
    <xf numFmtId="0" fontId="6" fillId="29" borderId="0" xfId="0" applyFont="1" applyFill="1" applyAlignment="1">
      <alignment horizontal="left" vertical="top"/>
    </xf>
    <xf numFmtId="178" fontId="6" fillId="30" borderId="0" xfId="0" applyNumberFormat="1" applyFont="1" applyFill="1" applyAlignment="1">
      <alignment horizontal="left" vertical="center"/>
    </xf>
    <xf numFmtId="180" fontId="6" fillId="30" borderId="0" xfId="0" applyNumberFormat="1" applyFont="1" applyFill="1" applyAlignment="1">
      <alignment horizontal="left" vertical="center"/>
    </xf>
    <xf numFmtId="178" fontId="6" fillId="29" borderId="0" xfId="0" applyNumberFormat="1" applyFont="1" applyFill="1" applyAlignment="1">
      <alignment horizontal="left" vertical="center"/>
    </xf>
    <xf numFmtId="177" fontId="6" fillId="29" borderId="0" xfId="0" applyNumberFormat="1" applyFont="1" applyFill="1" applyAlignment="1">
      <alignment horizontal="left" vertical="center"/>
    </xf>
    <xf numFmtId="183" fontId="6" fillId="29" borderId="0" xfId="0" applyNumberFormat="1" applyFont="1" applyFill="1" applyAlignment="1">
      <alignment horizontal="left" vertical="center"/>
    </xf>
    <xf numFmtId="186" fontId="6" fillId="29" borderId="0" xfId="0" applyNumberFormat="1" applyFont="1" applyFill="1" applyAlignment="1">
      <alignment horizontal="left" vertical="center"/>
    </xf>
    <xf numFmtId="184" fontId="6" fillId="29" borderId="0" xfId="0" applyNumberFormat="1" applyFont="1" applyFill="1">
      <alignment vertical="center"/>
    </xf>
    <xf numFmtId="177" fontId="6" fillId="29" borderId="0" xfId="0" applyNumberFormat="1" applyFont="1" applyFill="1">
      <alignment vertical="center"/>
    </xf>
    <xf numFmtId="186" fontId="6" fillId="29" borderId="0" xfId="0" applyNumberFormat="1" applyFont="1" applyFill="1">
      <alignment vertical="center"/>
    </xf>
    <xf numFmtId="186" fontId="6" fillId="34" borderId="0" xfId="0" applyNumberFormat="1" applyFont="1" applyFill="1" applyAlignment="1">
      <alignment horizontal="left" vertical="center"/>
    </xf>
    <xf numFmtId="0" fontId="6" fillId="24" borderId="27" xfId="0" applyFont="1" applyFill="1" applyBorder="1" applyAlignment="1">
      <alignment vertical="center" shrinkToFit="1"/>
    </xf>
    <xf numFmtId="0" fontId="6" fillId="24" borderId="48" xfId="0" applyFont="1" applyFill="1" applyBorder="1" applyAlignment="1">
      <alignment vertical="center" shrinkToFit="1"/>
    </xf>
    <xf numFmtId="0" fontId="44" fillId="0" borderId="0" xfId="120" applyFont="1" applyAlignment="1">
      <alignment vertical="center"/>
    </xf>
    <xf numFmtId="0" fontId="46" fillId="0" borderId="0" xfId="120" applyFont="1" applyAlignment="1">
      <alignment vertical="center"/>
    </xf>
    <xf numFmtId="0" fontId="47" fillId="0" borderId="0" xfId="120" applyFont="1" applyAlignment="1">
      <alignment vertical="center"/>
    </xf>
    <xf numFmtId="0" fontId="50" fillId="0" borderId="0" xfId="120" applyFont="1" applyAlignment="1">
      <alignment vertical="center"/>
    </xf>
    <xf numFmtId="0" fontId="51" fillId="0" borderId="0" xfId="120" applyFont="1" applyAlignment="1">
      <alignment vertical="center"/>
    </xf>
    <xf numFmtId="0" fontId="48" fillId="0" borderId="0" xfId="120" applyFont="1" applyAlignment="1">
      <alignment vertical="center"/>
    </xf>
    <xf numFmtId="0" fontId="52" fillId="0" borderId="0" xfId="120" applyFont="1" applyAlignment="1">
      <alignment vertical="center"/>
    </xf>
    <xf numFmtId="0" fontId="49" fillId="0" borderId="0" xfId="120" applyFont="1" applyAlignment="1">
      <alignment horizontal="left" vertical="center"/>
    </xf>
    <xf numFmtId="0" fontId="51" fillId="0" borderId="0" xfId="120" applyFont="1" applyAlignment="1">
      <alignment horizontal="left" vertical="center"/>
    </xf>
    <xf numFmtId="0" fontId="52" fillId="0" borderId="0" xfId="120" applyFont="1" applyAlignment="1">
      <alignment horizontal="left" vertical="center"/>
    </xf>
    <xf numFmtId="0" fontId="49" fillId="0" borderId="0" xfId="120" applyFont="1" applyAlignment="1">
      <alignment vertical="center"/>
    </xf>
    <xf numFmtId="0" fontId="47" fillId="35" borderId="0" xfId="120" applyFont="1" applyFill="1" applyAlignment="1">
      <alignment vertical="center"/>
    </xf>
    <xf numFmtId="0" fontId="47" fillId="36" borderId="0" xfId="120" applyFont="1" applyFill="1" applyAlignment="1">
      <alignment vertical="center"/>
    </xf>
    <xf numFmtId="0" fontId="47" fillId="37" borderId="0" xfId="120" applyFont="1" applyFill="1" applyAlignment="1">
      <alignment vertical="center"/>
    </xf>
    <xf numFmtId="0" fontId="47" fillId="38" borderId="0" xfId="120" applyFont="1" applyFill="1" applyAlignment="1">
      <alignment vertical="center"/>
    </xf>
    <xf numFmtId="0" fontId="51" fillId="39" borderId="0" xfId="120" applyFont="1" applyFill="1" applyAlignment="1">
      <alignment horizontal="left" vertical="center"/>
    </xf>
    <xf numFmtId="0" fontId="54" fillId="32" borderId="13" xfId="122" applyFont="1" applyFill="1" applyBorder="1" applyAlignment="1">
      <alignment horizontal="left" vertical="center"/>
    </xf>
    <xf numFmtId="0" fontId="47" fillId="32" borderId="49" xfId="120" applyFont="1" applyFill="1" applyBorder="1" applyAlignment="1">
      <alignment vertical="center"/>
    </xf>
    <xf numFmtId="0" fontId="47" fillId="32" borderId="32" xfId="120" applyFont="1" applyFill="1" applyBorder="1" applyAlignment="1">
      <alignment vertical="center"/>
    </xf>
    <xf numFmtId="0" fontId="55" fillId="0" borderId="50" xfId="121" applyFont="1" applyBorder="1" applyAlignment="1">
      <alignment horizontal="left" vertical="center"/>
    </xf>
    <xf numFmtId="0" fontId="47" fillId="0" borderId="51" xfId="120" applyFont="1" applyBorder="1" applyAlignment="1">
      <alignment vertical="center"/>
    </xf>
    <xf numFmtId="0" fontId="55" fillId="0" borderId="13" xfId="121" applyFont="1" applyBorder="1" applyAlignment="1">
      <alignment horizontal="left" vertical="center"/>
    </xf>
    <xf numFmtId="0" fontId="47" fillId="0" borderId="49" xfId="120" applyFont="1" applyBorder="1" applyAlignment="1">
      <alignment vertical="center"/>
    </xf>
    <xf numFmtId="0" fontId="47" fillId="0" borderId="52" xfId="120" applyFont="1" applyBorder="1" applyAlignment="1">
      <alignment vertical="center"/>
    </xf>
    <xf numFmtId="0" fontId="56" fillId="0" borderId="0" xfId="120" applyFont="1" applyAlignment="1">
      <alignment vertical="center"/>
    </xf>
    <xf numFmtId="0" fontId="56" fillId="0" borderId="0" xfId="123" applyFont="1" applyAlignment="1">
      <alignment horizontal="right" vertical="center"/>
    </xf>
    <xf numFmtId="0" fontId="49" fillId="0" borderId="0" xfId="123" applyFont="1">
      <alignment vertical="center"/>
    </xf>
    <xf numFmtId="0" fontId="49" fillId="0" borderId="0" xfId="123" applyFont="1" applyAlignment="1">
      <alignment horizontal="left" vertical="center"/>
    </xf>
    <xf numFmtId="0" fontId="57" fillId="0" borderId="0" xfId="123" applyFont="1" applyAlignment="1">
      <alignment horizontal="center" vertical="center"/>
    </xf>
    <xf numFmtId="0" fontId="49" fillId="0" borderId="0" xfId="123" applyFont="1" applyAlignment="1">
      <alignment horizontal="left" vertical="center" indent="1"/>
    </xf>
    <xf numFmtId="0" fontId="59" fillId="0" borderId="0" xfId="123" applyFont="1" applyAlignment="1">
      <alignment horizontal="center" vertical="center"/>
    </xf>
    <xf numFmtId="0" fontId="49" fillId="0" borderId="53" xfId="123" applyFont="1" applyBorder="1" applyAlignment="1">
      <alignment horizontal="left" vertical="center"/>
    </xf>
    <xf numFmtId="0" fontId="49" fillId="0" borderId="54" xfId="123" applyFont="1" applyBorder="1" applyAlignment="1">
      <alignment horizontal="left" vertical="center"/>
    </xf>
    <xf numFmtId="0" fontId="49" fillId="0" borderId="55" xfId="123" applyFont="1" applyBorder="1" applyAlignment="1">
      <alignment horizontal="left" vertical="center"/>
    </xf>
    <xf numFmtId="0" fontId="61" fillId="0" borderId="0" xfId="123" applyFont="1" applyAlignment="1">
      <alignment horizontal="left" vertical="center"/>
    </xf>
    <xf numFmtId="0" fontId="62" fillId="0" borderId="0" xfId="123" applyFont="1" applyAlignment="1">
      <alignment vertical="center" wrapText="1"/>
    </xf>
    <xf numFmtId="0" fontId="60" fillId="0" borderId="0" xfId="123" applyFont="1" applyAlignment="1">
      <alignment horizontal="left" vertical="center"/>
    </xf>
    <xf numFmtId="0" fontId="49" fillId="0" borderId="56" xfId="123" applyFont="1" applyBorder="1" applyAlignment="1">
      <alignment horizontal="left" vertical="center"/>
    </xf>
    <xf numFmtId="0" fontId="49" fillId="0" borderId="57" xfId="123" applyFont="1" applyBorder="1" applyAlignment="1">
      <alignment horizontal="left" vertical="center"/>
    </xf>
    <xf numFmtId="0" fontId="49" fillId="0" borderId="58" xfId="123" applyFont="1" applyBorder="1" applyAlignment="1">
      <alignment horizontal="left" vertical="center"/>
    </xf>
    <xf numFmtId="0" fontId="49" fillId="0" borderId="59" xfId="123" applyFont="1" applyBorder="1" applyAlignment="1">
      <alignment horizontal="left" vertical="center"/>
    </xf>
    <xf numFmtId="0" fontId="64" fillId="0" borderId="0" xfId="123" applyFont="1" applyAlignment="1">
      <alignment horizontal="left" vertical="center"/>
    </xf>
    <xf numFmtId="0" fontId="49" fillId="0" borderId="60" xfId="123" applyFont="1" applyBorder="1" applyAlignment="1">
      <alignment horizontal="left" vertical="center"/>
    </xf>
    <xf numFmtId="0" fontId="49" fillId="0" borderId="60" xfId="123" applyFont="1" applyBorder="1" applyAlignment="1">
      <alignment horizontal="left" vertical="center" indent="1"/>
    </xf>
    <xf numFmtId="0" fontId="49" fillId="0" borderId="61" xfId="123" applyFont="1" applyBorder="1" applyAlignment="1">
      <alignment horizontal="left" vertical="center"/>
    </xf>
    <xf numFmtId="0" fontId="49" fillId="0" borderId="62" xfId="123" applyFont="1" applyBorder="1" applyAlignment="1">
      <alignment horizontal="left" vertical="center"/>
    </xf>
    <xf numFmtId="0" fontId="49" fillId="0" borderId="63" xfId="123" applyFont="1" applyBorder="1" applyAlignment="1">
      <alignment horizontal="left" vertical="center"/>
    </xf>
    <xf numFmtId="0" fontId="49" fillId="0" borderId="64" xfId="123" applyFont="1" applyBorder="1" applyAlignment="1">
      <alignment horizontal="left" vertical="center"/>
    </xf>
    <xf numFmtId="0" fontId="65" fillId="0" borderId="0" xfId="123" applyFont="1" applyAlignment="1">
      <alignment horizontal="left" vertical="center"/>
    </xf>
    <xf numFmtId="0" fontId="49" fillId="0" borderId="65" xfId="123" applyFont="1" applyBorder="1" applyAlignment="1">
      <alignment horizontal="left" vertical="center"/>
    </xf>
    <xf numFmtId="0" fontId="49" fillId="0" borderId="66" xfId="123" applyFont="1" applyBorder="1" applyAlignment="1">
      <alignment horizontal="left" vertical="center"/>
    </xf>
    <xf numFmtId="0" fontId="49" fillId="0" borderId="67" xfId="123" applyFont="1" applyBorder="1" applyAlignment="1">
      <alignment horizontal="left" vertical="center"/>
    </xf>
    <xf numFmtId="0" fontId="49" fillId="0" borderId="68" xfId="123" applyFont="1" applyBorder="1" applyAlignment="1">
      <alignment horizontal="left" vertical="center"/>
    </xf>
    <xf numFmtId="0" fontId="49" fillId="0" borderId="69" xfId="123" applyFont="1" applyBorder="1" applyAlignment="1">
      <alignment horizontal="left" vertical="center"/>
    </xf>
    <xf numFmtId="0" fontId="67" fillId="0" borderId="0" xfId="123" applyFont="1" applyAlignment="1">
      <alignment horizontal="left" vertical="center"/>
    </xf>
    <xf numFmtId="0" fontId="49" fillId="0" borderId="70" xfId="123" applyFont="1" applyBorder="1" applyAlignment="1">
      <alignment horizontal="left" vertical="center"/>
    </xf>
    <xf numFmtId="0" fontId="49" fillId="0" borderId="71" xfId="123" applyFont="1" applyBorder="1" applyAlignment="1">
      <alignment horizontal="left" vertical="center"/>
    </xf>
    <xf numFmtId="0" fontId="68" fillId="40" borderId="0" xfId="125" applyFont="1" applyFill="1" applyAlignment="1">
      <alignment horizontal="left" vertical="top"/>
    </xf>
    <xf numFmtId="0" fontId="15" fillId="40" borderId="0" xfId="125" applyFont="1" applyFill="1" applyAlignment="1">
      <alignment horizontal="left" vertical="top"/>
    </xf>
    <xf numFmtId="0" fontId="15" fillId="40" borderId="0" xfId="125" applyFont="1" applyFill="1" applyAlignment="1">
      <alignment horizontal="center" vertical="center"/>
    </xf>
    <xf numFmtId="0" fontId="15" fillId="0" borderId="0" xfId="126" applyFont="1" applyAlignment="1">
      <alignment horizontal="left" vertical="top"/>
    </xf>
    <xf numFmtId="0" fontId="69" fillId="0" borderId="13" xfId="126" applyFont="1" applyBorder="1" applyAlignment="1">
      <alignment horizontal="center" vertical="center" wrapText="1"/>
    </xf>
    <xf numFmtId="0" fontId="69" fillId="0" borderId="13" xfId="126" applyFont="1" applyBorder="1" applyAlignment="1">
      <alignment horizontal="left" vertical="top" wrapText="1"/>
    </xf>
    <xf numFmtId="0" fontId="69" fillId="41" borderId="13" xfId="126" applyFont="1" applyFill="1" applyBorder="1" applyAlignment="1">
      <alignment horizontal="center" vertical="center" wrapText="1"/>
    </xf>
    <xf numFmtId="0" fontId="69" fillId="0" borderId="28" xfId="126" applyFont="1" applyBorder="1" applyAlignment="1">
      <alignment horizontal="left" vertical="top" wrapText="1"/>
    </xf>
    <xf numFmtId="0" fontId="69" fillId="41" borderId="28" xfId="126" applyFont="1" applyFill="1" applyBorder="1" applyAlignment="1">
      <alignment horizontal="center" vertical="center" wrapText="1"/>
    </xf>
    <xf numFmtId="0" fontId="69" fillId="0" borderId="72" xfId="126" applyFont="1" applyBorder="1" applyAlignment="1">
      <alignment horizontal="left" vertical="top" wrapText="1"/>
    </xf>
    <xf numFmtId="0" fontId="69" fillId="41" borderId="72" xfId="126" applyFont="1" applyFill="1" applyBorder="1" applyAlignment="1">
      <alignment horizontal="center" vertical="center" wrapText="1"/>
    </xf>
    <xf numFmtId="0" fontId="15" fillId="0" borderId="0" xfId="126" applyFont="1" applyAlignment="1">
      <alignment horizontal="left" vertical="center"/>
    </xf>
    <xf numFmtId="0" fontId="15" fillId="0" borderId="0" xfId="126" applyFont="1" applyAlignment="1">
      <alignment horizontal="center" vertical="center"/>
    </xf>
    <xf numFmtId="0" fontId="69" fillId="0" borderId="73" xfId="126" applyFont="1" applyBorder="1" applyAlignment="1">
      <alignment horizontal="left" vertical="top" wrapText="1"/>
    </xf>
    <xf numFmtId="0" fontId="69" fillId="41" borderId="73" xfId="126" applyFont="1" applyFill="1" applyBorder="1" applyAlignment="1">
      <alignment horizontal="center" vertical="center" wrapText="1"/>
    </xf>
    <xf numFmtId="0" fontId="15" fillId="0" borderId="0" xfId="127" applyFont="1" applyAlignment="1">
      <alignment horizontal="left" vertical="top"/>
    </xf>
    <xf numFmtId="0" fontId="15" fillId="0" borderId="0" xfId="127" applyFont="1" applyAlignment="1">
      <alignment horizontal="center" vertical="center"/>
    </xf>
    <xf numFmtId="0" fontId="71" fillId="0" borderId="0" xfId="126" applyFont="1" applyAlignment="1">
      <alignment horizontal="left" vertical="center"/>
    </xf>
    <xf numFmtId="0" fontId="71" fillId="0" borderId="0" xfId="126" applyFont="1">
      <alignment vertical="center"/>
    </xf>
    <xf numFmtId="0" fontId="71" fillId="0" borderId="0" xfId="126" applyFont="1" applyAlignment="1">
      <alignment horizontal="right" vertical="center"/>
    </xf>
    <xf numFmtId="0" fontId="73" fillId="0" borderId="0" xfId="126" applyFont="1">
      <alignment vertical="center"/>
    </xf>
    <xf numFmtId="0" fontId="71" fillId="0" borderId="74" xfId="126" applyFont="1" applyBorder="1" applyAlignment="1">
      <alignment horizontal="center" vertical="center"/>
    </xf>
    <xf numFmtId="0" fontId="76" fillId="0" borderId="75" xfId="126" applyFont="1" applyBorder="1" applyAlignment="1">
      <alignment horizontal="center" vertical="center"/>
    </xf>
    <xf numFmtId="0" fontId="76" fillId="0" borderId="75" xfId="126" applyFont="1" applyBorder="1" applyAlignment="1">
      <alignment horizontal="left" vertical="center"/>
    </xf>
    <xf numFmtId="0" fontId="76" fillId="0" borderId="76" xfId="126" applyFont="1" applyBorder="1">
      <alignment vertical="center"/>
    </xf>
    <xf numFmtId="0" fontId="76" fillId="0" borderId="77" xfId="126" applyFont="1" applyBorder="1">
      <alignment vertical="center"/>
    </xf>
    <xf numFmtId="0" fontId="76" fillId="0" borderId="76" xfId="126" applyFont="1" applyBorder="1" applyAlignment="1">
      <alignment horizontal="left" vertical="center"/>
    </xf>
    <xf numFmtId="0" fontId="76" fillId="0" borderId="78" xfId="126" applyFont="1" applyBorder="1">
      <alignment vertical="center"/>
    </xf>
    <xf numFmtId="0" fontId="76" fillId="0" borderId="0" xfId="126" applyFont="1" applyAlignment="1">
      <alignment horizontal="left" vertical="center"/>
    </xf>
    <xf numFmtId="0" fontId="76" fillId="0" borderId="79" xfId="126" applyFont="1" applyBorder="1" applyAlignment="1">
      <alignment horizontal="left" vertical="center"/>
    </xf>
    <xf numFmtId="0" fontId="76" fillId="0" borderId="80" xfId="126" applyFont="1" applyBorder="1">
      <alignment vertical="center"/>
    </xf>
    <xf numFmtId="0" fontId="76" fillId="0" borderId="81" xfId="126" applyFont="1" applyBorder="1" applyAlignment="1">
      <alignment horizontal="left" vertical="center"/>
    </xf>
    <xf numFmtId="0" fontId="76" fillId="0" borderId="82" xfId="126" applyFont="1" applyBorder="1">
      <alignment vertical="center"/>
    </xf>
    <xf numFmtId="0" fontId="76" fillId="0" borderId="83" xfId="126" applyFont="1" applyBorder="1" applyAlignment="1">
      <alignment horizontal="center" vertical="center"/>
    </xf>
    <xf numFmtId="0" fontId="76" fillId="0" borderId="84" xfId="126" applyFont="1" applyBorder="1" applyAlignment="1">
      <alignment horizontal="left" vertical="center"/>
    </xf>
    <xf numFmtId="0" fontId="76" fillId="0" borderId="85" xfId="126" applyFont="1" applyBorder="1">
      <alignment vertical="center"/>
    </xf>
    <xf numFmtId="0" fontId="76" fillId="0" borderId="86" xfId="126" applyFont="1" applyBorder="1">
      <alignment vertical="center"/>
    </xf>
    <xf numFmtId="0" fontId="76" fillId="0" borderId="87" xfId="126" applyFont="1" applyBorder="1" applyAlignment="1">
      <alignment horizontal="left" vertical="center"/>
    </xf>
    <xf numFmtId="0" fontId="76" fillId="0" borderId="88" xfId="126" applyFont="1" applyBorder="1">
      <alignment vertical="center"/>
    </xf>
    <xf numFmtId="0" fontId="76" fillId="0" borderId="89" xfId="126" applyFont="1" applyBorder="1" applyAlignment="1">
      <alignment horizontal="left" vertical="center"/>
    </xf>
    <xf numFmtId="0" fontId="76" fillId="0" borderId="90" xfId="126" applyFont="1" applyBorder="1">
      <alignment vertical="center"/>
    </xf>
    <xf numFmtId="0" fontId="76" fillId="0" borderId="91" xfId="126" applyFont="1" applyBorder="1">
      <alignment vertical="center"/>
    </xf>
    <xf numFmtId="0" fontId="71" fillId="0" borderId="92" xfId="126" applyFont="1" applyBorder="1" applyAlignment="1">
      <alignment horizontal="left" vertical="center"/>
    </xf>
    <xf numFmtId="0" fontId="76" fillId="0" borderId="93" xfId="126" applyFont="1" applyBorder="1" applyAlignment="1">
      <alignment horizontal="left" vertical="center"/>
    </xf>
    <xf numFmtId="0" fontId="71" fillId="0" borderId="94" xfId="126" applyFont="1" applyBorder="1" applyAlignment="1">
      <alignment horizontal="left" vertical="center"/>
    </xf>
    <xf numFmtId="0" fontId="71" fillId="0" borderId="95" xfId="126" applyFont="1" applyBorder="1" applyAlignment="1">
      <alignment horizontal="left" vertical="center"/>
    </xf>
    <xf numFmtId="0" fontId="76" fillId="0" borderId="92" xfId="126" applyFont="1" applyBorder="1" applyAlignment="1">
      <alignment horizontal="left" vertical="center"/>
    </xf>
    <xf numFmtId="0" fontId="76" fillId="0" borderId="96" xfId="126" applyFont="1" applyBorder="1" applyAlignment="1">
      <alignment horizontal="left" vertical="center"/>
    </xf>
    <xf numFmtId="0" fontId="76" fillId="0" borderId="97" xfId="126" applyFont="1" applyBorder="1" applyAlignment="1">
      <alignment horizontal="left" vertical="center"/>
    </xf>
    <xf numFmtId="0" fontId="74" fillId="0" borderId="92" xfId="126" applyFont="1" applyBorder="1" applyAlignment="1">
      <alignment horizontal="left" vertical="center"/>
    </xf>
    <xf numFmtId="0" fontId="76" fillId="0" borderId="98" xfId="126" applyFont="1" applyBorder="1" applyAlignment="1">
      <alignment horizontal="left" vertical="center"/>
    </xf>
    <xf numFmtId="0" fontId="76" fillId="0" borderId="99" xfId="126" applyFont="1" applyBorder="1" applyAlignment="1">
      <alignment horizontal="left" vertical="center"/>
    </xf>
    <xf numFmtId="0" fontId="76" fillId="0" borderId="100" xfId="126" applyFont="1" applyBorder="1" applyAlignment="1">
      <alignment horizontal="left" vertical="center"/>
    </xf>
    <xf numFmtId="0" fontId="76" fillId="0" borderId="101" xfId="126" applyFont="1" applyBorder="1" applyAlignment="1">
      <alignment horizontal="left" vertical="center"/>
    </xf>
    <xf numFmtId="0" fontId="76" fillId="0" borderId="85" xfId="126" applyFont="1" applyBorder="1" applyAlignment="1">
      <alignment horizontal="left" vertical="center"/>
    </xf>
    <xf numFmtId="0" fontId="76" fillId="0" borderId="86" xfId="126" applyFont="1" applyBorder="1" applyAlignment="1">
      <alignment horizontal="left" vertical="center"/>
    </xf>
    <xf numFmtId="0" fontId="76" fillId="0" borderId="94" xfId="126" applyFont="1" applyBorder="1">
      <alignment vertical="center"/>
    </xf>
    <xf numFmtId="0" fontId="76" fillId="0" borderId="102" xfId="126" applyFont="1" applyBorder="1" applyAlignment="1">
      <alignment horizontal="left" vertical="center"/>
    </xf>
    <xf numFmtId="0" fontId="76" fillId="0" borderId="95" xfId="126" applyFont="1" applyBorder="1">
      <alignment vertical="center"/>
    </xf>
    <xf numFmtId="0" fontId="76" fillId="0" borderId="74" xfId="126" applyFont="1" applyBorder="1" applyAlignment="1">
      <alignment horizontal="center" vertical="center"/>
    </xf>
    <xf numFmtId="0" fontId="71" fillId="0" borderId="76" xfId="126" applyFont="1" applyBorder="1" applyAlignment="1">
      <alignment horizontal="left" vertical="center"/>
    </xf>
    <xf numFmtId="0" fontId="76" fillId="0" borderId="103" xfId="126" applyFont="1" applyBorder="1" applyAlignment="1">
      <alignment horizontal="left" vertical="center"/>
    </xf>
    <xf numFmtId="0" fontId="71" fillId="0" borderId="78" xfId="126" applyFont="1" applyBorder="1" applyAlignment="1">
      <alignment horizontal="left" vertical="center"/>
    </xf>
    <xf numFmtId="0" fontId="71" fillId="0" borderId="97" xfId="126" applyFont="1" applyBorder="1" applyAlignment="1">
      <alignment horizontal="left" vertical="center"/>
    </xf>
    <xf numFmtId="0" fontId="76" fillId="0" borderId="0" xfId="126" applyFont="1" applyAlignment="1">
      <alignment horizontal="center" vertical="center"/>
    </xf>
    <xf numFmtId="0" fontId="71" fillId="0" borderId="100" xfId="126" applyFont="1" applyBorder="1" applyAlignment="1">
      <alignment horizontal="left" vertical="center"/>
    </xf>
    <xf numFmtId="0" fontId="71" fillId="0" borderId="101" xfId="126" applyFont="1" applyBorder="1" applyAlignment="1">
      <alignment horizontal="left" vertical="center"/>
    </xf>
    <xf numFmtId="0" fontId="76" fillId="0" borderId="104" xfId="126" applyFont="1" applyBorder="1" applyAlignment="1">
      <alignment horizontal="left" vertical="center"/>
    </xf>
    <xf numFmtId="0" fontId="76" fillId="0" borderId="105" xfId="126" applyFont="1" applyBorder="1">
      <alignment vertical="center"/>
    </xf>
    <xf numFmtId="0" fontId="76" fillId="0" borderId="106" xfId="126" applyFont="1" applyBorder="1">
      <alignment vertical="center"/>
    </xf>
    <xf numFmtId="0" fontId="71" fillId="0" borderId="98" xfId="126" applyFont="1" applyBorder="1" applyAlignment="1">
      <alignment horizontal="left" vertical="center"/>
    </xf>
    <xf numFmtId="0" fontId="76" fillId="0" borderId="107" xfId="126" applyFont="1" applyBorder="1" applyAlignment="1">
      <alignment horizontal="left" vertical="center"/>
    </xf>
    <xf numFmtId="0" fontId="71" fillId="0" borderId="108" xfId="126" applyFont="1" applyBorder="1" applyAlignment="1">
      <alignment horizontal="left" vertical="center"/>
    </xf>
    <xf numFmtId="0" fontId="71" fillId="0" borderId="109" xfId="126" applyFont="1" applyBorder="1" applyAlignment="1">
      <alignment horizontal="left" vertical="center"/>
    </xf>
    <xf numFmtId="0" fontId="71" fillId="0" borderId="99" xfId="126" applyFont="1" applyBorder="1" applyAlignment="1">
      <alignment horizontal="left" vertical="center"/>
    </xf>
    <xf numFmtId="0" fontId="76" fillId="0" borderId="0" xfId="126" applyFont="1" applyAlignment="1">
      <alignment horizontal="center" vertical="center" shrinkToFit="1"/>
    </xf>
    <xf numFmtId="0" fontId="74" fillId="0" borderId="103" xfId="126" applyFont="1" applyBorder="1">
      <alignment vertical="center"/>
    </xf>
    <xf numFmtId="0" fontId="77" fillId="0" borderId="76" xfId="126" applyFont="1" applyBorder="1">
      <alignment vertical="center"/>
    </xf>
    <xf numFmtId="0" fontId="52" fillId="0" borderId="96" xfId="126" applyFont="1" applyBorder="1" applyAlignment="1">
      <alignment horizontal="left" vertical="center"/>
    </xf>
    <xf numFmtId="49" fontId="25" fillId="0" borderId="0" xfId="2" applyNumberFormat="1" applyAlignment="1" applyProtection="1">
      <alignment horizontal="left" vertical="center"/>
    </xf>
    <xf numFmtId="49" fontId="71" fillId="0" borderId="0" xfId="126" applyNumberFormat="1" applyFont="1" applyAlignment="1">
      <alignment horizontal="left" vertical="center"/>
    </xf>
    <xf numFmtId="0" fontId="76" fillId="0" borderId="103" xfId="126" applyFont="1" applyBorder="1">
      <alignment vertical="center"/>
    </xf>
    <xf numFmtId="0" fontId="76" fillId="0" borderId="96" xfId="126" applyFont="1" applyBorder="1" applyAlignment="1">
      <alignment horizontal="right" vertical="center"/>
    </xf>
    <xf numFmtId="0" fontId="76" fillId="0" borderId="99" xfId="126" applyFont="1" applyBorder="1" applyAlignment="1">
      <alignment horizontal="right" vertical="center"/>
    </xf>
    <xf numFmtId="0" fontId="76" fillId="0" borderId="100" xfId="126" applyFont="1" applyBorder="1">
      <alignment vertical="center"/>
    </xf>
    <xf numFmtId="0" fontId="25" fillId="0" borderId="100" xfId="2" applyNumberFormat="1" applyBorder="1" applyAlignment="1" applyProtection="1">
      <alignment vertical="center"/>
    </xf>
    <xf numFmtId="0" fontId="76" fillId="0" borderId="101" xfId="126" applyFont="1" applyBorder="1">
      <alignment vertical="center"/>
    </xf>
    <xf numFmtId="0" fontId="76" fillId="0" borderId="96" xfId="126" applyFont="1" applyBorder="1" applyAlignment="1">
      <alignment horizontal="center" vertical="center"/>
    </xf>
    <xf numFmtId="0" fontId="76" fillId="0" borderId="92" xfId="126" applyFont="1" applyBorder="1" applyAlignment="1">
      <alignment horizontal="center" vertical="center"/>
    </xf>
    <xf numFmtId="0" fontId="52" fillId="0" borderId="84" xfId="126" applyFont="1" applyBorder="1" applyAlignment="1">
      <alignment horizontal="left" vertical="center"/>
    </xf>
    <xf numFmtId="0" fontId="71" fillId="0" borderId="85" xfId="126" applyFont="1" applyBorder="1" applyAlignment="1">
      <alignment horizontal="left" vertical="center"/>
    </xf>
    <xf numFmtId="0" fontId="74" fillId="0" borderId="85" xfId="126" applyFont="1" applyBorder="1" applyAlignment="1">
      <alignment horizontal="right" vertical="center"/>
    </xf>
    <xf numFmtId="0" fontId="71" fillId="0" borderId="86" xfId="126" applyFont="1" applyBorder="1" applyAlignment="1">
      <alignment horizontal="left" vertical="center"/>
    </xf>
    <xf numFmtId="0" fontId="74" fillId="0" borderId="0" xfId="126" applyFont="1" applyAlignment="1">
      <alignment horizontal="right" vertical="center"/>
    </xf>
    <xf numFmtId="0" fontId="74" fillId="0" borderId="0" xfId="126" applyFont="1" applyAlignment="1">
      <alignment horizontal="left" vertical="center"/>
    </xf>
    <xf numFmtId="0" fontId="79" fillId="0" borderId="93" xfId="126" applyFont="1" applyBorder="1">
      <alignment vertical="center"/>
    </xf>
    <xf numFmtId="0" fontId="79" fillId="0" borderId="94" xfId="126" applyFont="1" applyBorder="1">
      <alignment vertical="center"/>
    </xf>
    <xf numFmtId="0" fontId="79" fillId="0" borderId="94" xfId="126" applyFont="1" applyBorder="1" applyAlignment="1">
      <alignment horizontal="left" vertical="center"/>
    </xf>
    <xf numFmtId="0" fontId="79" fillId="0" borderId="95" xfId="126" applyFont="1" applyBorder="1">
      <alignment vertical="center"/>
    </xf>
    <xf numFmtId="0" fontId="71" fillId="0" borderId="96" xfId="126" applyFont="1" applyBorder="1" applyAlignment="1">
      <alignment horizontal="left" vertical="center"/>
    </xf>
    <xf numFmtId="0" fontId="79" fillId="0" borderId="0" xfId="126" applyFont="1">
      <alignment vertical="center"/>
    </xf>
    <xf numFmtId="0" fontId="79" fillId="0" borderId="0" xfId="126" applyFont="1" applyAlignment="1">
      <alignment horizontal="left" vertical="center"/>
    </xf>
    <xf numFmtId="0" fontId="79" fillId="0" borderId="97" xfId="126" applyFont="1" applyBorder="1">
      <alignment vertical="center"/>
    </xf>
    <xf numFmtId="0" fontId="71" fillId="0" borderId="96" xfId="126" applyFont="1" applyBorder="1" applyAlignment="1">
      <alignment horizontal="right" vertical="center"/>
    </xf>
    <xf numFmtId="0" fontId="74" fillId="0" borderId="99" xfId="126" applyFont="1" applyBorder="1" applyAlignment="1">
      <alignment horizontal="left" vertical="center"/>
    </xf>
    <xf numFmtId="0" fontId="74" fillId="0" borderId="100" xfId="126" applyFont="1" applyBorder="1" applyAlignment="1">
      <alignment horizontal="left" vertical="center"/>
    </xf>
    <xf numFmtId="0" fontId="76" fillId="0" borderId="110" xfId="126" applyFont="1" applyBorder="1" applyAlignment="1">
      <alignment horizontal="left" vertical="center"/>
    </xf>
    <xf numFmtId="0" fontId="76" fillId="0" borderId="105" xfId="126" applyFont="1" applyBorder="1" applyAlignment="1">
      <alignment horizontal="left" vertical="center"/>
    </xf>
    <xf numFmtId="0" fontId="76" fillId="0" borderId="99" xfId="126" applyFont="1" applyBorder="1" applyAlignment="1">
      <alignment horizontal="center" vertical="center"/>
    </xf>
    <xf numFmtId="0" fontId="76" fillId="0" borderId="111" xfId="126" applyFont="1" applyBorder="1" applyAlignment="1">
      <alignment horizontal="center" vertical="center"/>
    </xf>
    <xf numFmtId="0" fontId="76" fillId="0" borderId="112" xfId="126" applyFont="1" applyBorder="1">
      <alignment vertical="center"/>
    </xf>
    <xf numFmtId="0" fontId="76" fillId="0" borderId="108" xfId="126" applyFont="1" applyBorder="1">
      <alignment vertical="center"/>
    </xf>
    <xf numFmtId="0" fontId="76" fillId="0" borderId="109" xfId="126" applyFont="1" applyBorder="1">
      <alignment vertical="center"/>
    </xf>
    <xf numFmtId="0" fontId="76" fillId="0" borderId="83" xfId="126" applyFont="1" applyBorder="1" applyAlignment="1">
      <alignment horizontal="left" vertical="center"/>
    </xf>
    <xf numFmtId="0" fontId="76" fillId="0" borderId="113" xfId="126" applyFont="1" applyBorder="1">
      <alignment vertical="center"/>
    </xf>
    <xf numFmtId="0" fontId="79" fillId="0" borderId="85" xfId="126" applyFont="1" applyBorder="1" applyAlignment="1">
      <alignment horizontal="left" vertical="center"/>
    </xf>
    <xf numFmtId="0" fontId="77" fillId="0" borderId="96" xfId="126" applyFont="1" applyBorder="1" applyAlignment="1">
      <alignment horizontal="left" vertical="center"/>
    </xf>
    <xf numFmtId="0" fontId="80" fillId="0" borderId="0" xfId="126" applyFont="1" applyAlignment="1">
      <alignment horizontal="left" vertical="center"/>
    </xf>
    <xf numFmtId="0" fontId="76" fillId="0" borderId="0" xfId="126" applyFont="1">
      <alignment vertical="center"/>
    </xf>
    <xf numFmtId="0" fontId="76" fillId="0" borderId="114" xfId="126" applyFont="1" applyBorder="1">
      <alignment vertical="center"/>
    </xf>
    <xf numFmtId="0" fontId="76" fillId="0" borderId="97" xfId="126" applyFont="1" applyBorder="1">
      <alignment vertical="center"/>
    </xf>
    <xf numFmtId="0" fontId="72" fillId="0" borderId="96" xfId="126" applyFont="1" applyBorder="1" applyAlignment="1">
      <alignment horizontal="left" vertical="center"/>
    </xf>
    <xf numFmtId="0" fontId="76" fillId="0" borderId="98" xfId="126" applyFont="1" applyBorder="1" applyAlignment="1">
      <alignment horizontal="center" vertical="center"/>
    </xf>
    <xf numFmtId="0" fontId="72" fillId="0" borderId="0" xfId="126" applyFont="1" applyAlignment="1">
      <alignment horizontal="left" vertical="center"/>
    </xf>
    <xf numFmtId="0" fontId="76" fillId="0" borderId="115" xfId="126" applyFont="1" applyBorder="1" applyAlignment="1">
      <alignment horizontal="center" vertical="center"/>
    </xf>
    <xf numFmtId="0" fontId="81" fillId="0" borderId="99" xfId="126" applyFont="1" applyBorder="1" applyAlignment="1">
      <alignment horizontal="left" vertical="center"/>
    </xf>
    <xf numFmtId="0" fontId="56" fillId="0" borderId="0" xfId="128" applyFont="1" applyAlignment="1">
      <alignment horizontal="left" vertical="center"/>
    </xf>
    <xf numFmtId="0" fontId="47" fillId="0" borderId="21" xfId="128" applyFont="1" applyBorder="1" applyAlignment="1">
      <alignment horizontal="left" vertical="center"/>
    </xf>
    <xf numFmtId="0" fontId="56" fillId="0" borderId="49" xfId="128" applyFont="1" applyBorder="1" applyAlignment="1">
      <alignment horizontal="left" vertical="center"/>
    </xf>
    <xf numFmtId="0" fontId="56" fillId="0" borderId="32" xfId="128" applyFont="1" applyBorder="1" applyAlignment="1">
      <alignment horizontal="left" vertical="center"/>
    </xf>
    <xf numFmtId="0" fontId="47" fillId="0" borderId="49" xfId="128" applyFont="1" applyBorder="1" applyAlignment="1">
      <alignment horizontal="left" vertical="center"/>
    </xf>
    <xf numFmtId="0" fontId="47" fillId="0" borderId="0" xfId="128" applyFont="1" applyAlignment="1">
      <alignment horizontal="left" vertical="center"/>
    </xf>
    <xf numFmtId="0" fontId="47" fillId="0" borderId="0" xfId="128" applyFont="1" applyAlignment="1">
      <alignment horizontal="right" vertical="center"/>
    </xf>
    <xf numFmtId="0" fontId="47" fillId="0" borderId="0" xfId="128" applyFont="1">
      <alignment vertical="center"/>
    </xf>
    <xf numFmtId="0" fontId="86" fillId="0" borderId="0" xfId="128" applyFont="1" applyAlignment="1">
      <alignment horizontal="center" vertical="center"/>
    </xf>
    <xf numFmtId="0" fontId="56" fillId="0" borderId="0" xfId="128" applyFont="1" applyAlignment="1">
      <alignment horizontal="center" vertical="center"/>
    </xf>
    <xf numFmtId="0" fontId="51" fillId="0" borderId="0" xfId="128" applyFont="1">
      <alignment vertical="center"/>
    </xf>
    <xf numFmtId="0" fontId="56" fillId="0" borderId="0" xfId="128" applyFont="1" applyAlignment="1">
      <alignment horizontal="right" vertical="center"/>
    </xf>
    <xf numFmtId="0" fontId="56" fillId="40" borderId="0" xfId="128" applyFont="1" applyFill="1" applyAlignment="1">
      <alignment horizontal="center" vertical="center"/>
    </xf>
    <xf numFmtId="0" fontId="51" fillId="40" borderId="0" xfId="128" applyFont="1" applyFill="1" applyAlignment="1">
      <alignment horizontal="left" vertical="center"/>
    </xf>
    <xf numFmtId="0" fontId="51" fillId="40" borderId="0" xfId="128" applyFont="1" applyFill="1">
      <alignment vertical="center"/>
    </xf>
    <xf numFmtId="0" fontId="56" fillId="40" borderId="0" xfId="128" applyFont="1" applyFill="1" applyAlignment="1">
      <alignment horizontal="right" vertical="center"/>
    </xf>
    <xf numFmtId="0" fontId="56" fillId="40" borderId="0" xfId="128" applyFont="1" applyFill="1" applyAlignment="1">
      <alignment horizontal="left" vertical="center"/>
    </xf>
    <xf numFmtId="0" fontId="90" fillId="42" borderId="49" xfId="128" applyFont="1" applyFill="1" applyBorder="1" applyAlignment="1">
      <alignment horizontal="left" vertical="center"/>
    </xf>
    <xf numFmtId="0" fontId="90" fillId="42" borderId="32" xfId="128" applyFont="1" applyFill="1" applyBorder="1" applyAlignment="1">
      <alignment horizontal="left" vertical="center"/>
    </xf>
    <xf numFmtId="0" fontId="47" fillId="0" borderId="74" xfId="128" applyFont="1" applyBorder="1" applyAlignment="1">
      <alignment horizontal="center" vertical="center"/>
    </xf>
    <xf numFmtId="0" fontId="47" fillId="0" borderId="75" xfId="128" applyFont="1" applyBorder="1">
      <alignment vertical="center"/>
    </xf>
    <xf numFmtId="0" fontId="47" fillId="0" borderId="76" xfId="128" applyFont="1" applyBorder="1">
      <alignment vertical="center"/>
    </xf>
    <xf numFmtId="0" fontId="47" fillId="0" borderId="77" xfId="128" applyFont="1" applyBorder="1">
      <alignment vertical="center"/>
    </xf>
    <xf numFmtId="0" fontId="47" fillId="0" borderId="103" xfId="128" applyFont="1" applyBorder="1">
      <alignment vertical="center"/>
    </xf>
    <xf numFmtId="0" fontId="51" fillId="43" borderId="74" xfId="128" applyFont="1" applyFill="1" applyBorder="1" applyAlignment="1">
      <alignment horizontal="center" vertical="center" wrapText="1"/>
    </xf>
    <xf numFmtId="0" fontId="51" fillId="0" borderId="74" xfId="128" applyFont="1" applyBorder="1" applyAlignment="1">
      <alignment horizontal="center" vertical="center" wrapText="1"/>
    </xf>
    <xf numFmtId="0" fontId="49" fillId="0" borderId="0" xfId="128" applyFont="1" applyAlignment="1">
      <alignment horizontal="left" vertical="center"/>
    </xf>
    <xf numFmtId="0" fontId="47" fillId="0" borderId="116" xfId="128" applyFont="1" applyBorder="1">
      <alignment vertical="center"/>
    </xf>
    <xf numFmtId="0" fontId="47" fillId="0" borderId="79" xfId="128" applyFont="1" applyBorder="1">
      <alignment vertical="center"/>
    </xf>
    <xf numFmtId="0" fontId="47" fillId="0" borderId="80" xfId="128" applyFont="1" applyBorder="1">
      <alignment vertical="center"/>
    </xf>
    <xf numFmtId="0" fontId="47" fillId="0" borderId="81" xfId="128" applyFont="1" applyBorder="1">
      <alignment vertical="center"/>
    </xf>
    <xf numFmtId="0" fontId="51" fillId="0" borderId="117" xfId="128" applyFont="1" applyBorder="1" applyAlignment="1">
      <alignment horizontal="center" vertical="center" wrapText="1"/>
    </xf>
    <xf numFmtId="0" fontId="47" fillId="0" borderId="87" xfId="128" applyFont="1" applyBorder="1">
      <alignment vertical="center"/>
    </xf>
    <xf numFmtId="0" fontId="47" fillId="0" borderId="88" xfId="128" applyFont="1" applyBorder="1">
      <alignment vertical="center"/>
    </xf>
    <xf numFmtId="0" fontId="47" fillId="0" borderId="89" xfId="128" applyFont="1" applyBorder="1">
      <alignment vertical="center"/>
    </xf>
    <xf numFmtId="0" fontId="47" fillId="0" borderId="90" xfId="128" applyFont="1" applyBorder="1">
      <alignment vertical="center"/>
    </xf>
    <xf numFmtId="0" fontId="51" fillId="43" borderId="118" xfId="128" applyFont="1" applyFill="1" applyBorder="1" applyAlignment="1">
      <alignment horizontal="center" vertical="center" wrapText="1"/>
    </xf>
    <xf numFmtId="0" fontId="51" fillId="0" borderId="118" xfId="128" applyFont="1" applyBorder="1" applyAlignment="1">
      <alignment horizontal="center" vertical="center" wrapText="1"/>
    </xf>
    <xf numFmtId="0" fontId="47" fillId="0" borderId="92" xfId="128" applyFont="1" applyBorder="1" applyAlignment="1">
      <alignment horizontal="left" vertical="center"/>
    </xf>
    <xf numFmtId="0" fontId="47" fillId="0" borderId="88" xfId="128" applyFont="1" applyBorder="1" applyAlignment="1">
      <alignment horizontal="left" vertical="center"/>
    </xf>
    <xf numFmtId="0" fontId="47" fillId="0" borderId="107" xfId="128" applyFont="1" applyBorder="1">
      <alignment vertical="center"/>
    </xf>
    <xf numFmtId="0" fontId="47" fillId="0" borderId="108" xfId="128" applyFont="1" applyBorder="1" applyAlignment="1">
      <alignment horizontal="left" vertical="center"/>
    </xf>
    <xf numFmtId="0" fontId="47" fillId="0" borderId="112" xfId="128" applyFont="1" applyBorder="1">
      <alignment vertical="center"/>
    </xf>
    <xf numFmtId="0" fontId="51" fillId="0" borderId="98" xfId="128" applyFont="1" applyBorder="1" applyAlignment="1">
      <alignment horizontal="center" vertical="center" wrapText="1"/>
    </xf>
    <xf numFmtId="0" fontId="47" fillId="0" borderId="76" xfId="128" applyFont="1" applyBorder="1" applyAlignment="1">
      <alignment horizontal="left" vertical="center"/>
    </xf>
    <xf numFmtId="0" fontId="47" fillId="0" borderId="78" xfId="128" applyFont="1" applyBorder="1" applyAlignment="1">
      <alignment horizontal="left" vertical="center"/>
    </xf>
    <xf numFmtId="0" fontId="47" fillId="0" borderId="76" xfId="128" applyFont="1" applyBorder="1" applyAlignment="1">
      <alignment horizontal="center" vertical="center" shrinkToFit="1"/>
    </xf>
    <xf numFmtId="0" fontId="49" fillId="0" borderId="0" xfId="128" applyFont="1" applyAlignment="1">
      <alignment horizontal="center" vertical="center"/>
    </xf>
    <xf numFmtId="0" fontId="47" fillId="0" borderId="0" xfId="128" applyFont="1" applyAlignment="1">
      <alignment horizontal="right" vertical="center" indent="1"/>
    </xf>
    <xf numFmtId="0" fontId="47" fillId="0" borderId="0" xfId="128" applyFont="1" applyAlignment="1">
      <alignment horizontal="center" vertical="center" wrapText="1"/>
    </xf>
    <xf numFmtId="0" fontId="51" fillId="0" borderId="0" xfId="128" applyFont="1" applyAlignment="1">
      <alignment horizontal="center" vertical="center" wrapText="1"/>
    </xf>
    <xf numFmtId="0" fontId="47" fillId="0" borderId="104" xfId="128" applyFont="1" applyBorder="1">
      <alignment vertical="center"/>
    </xf>
    <xf numFmtId="0" fontId="47" fillId="0" borderId="105" xfId="128" applyFont="1" applyBorder="1" applyAlignment="1">
      <alignment horizontal="right" vertical="center" indent="1"/>
    </xf>
    <xf numFmtId="0" fontId="47" fillId="0" borderId="105" xfId="128" applyFont="1" applyBorder="1" applyAlignment="1">
      <alignment horizontal="left" vertical="center"/>
    </xf>
    <xf numFmtId="0" fontId="47" fillId="0" borderId="105" xfId="128" applyFont="1" applyBorder="1" applyAlignment="1">
      <alignment horizontal="center" vertical="center"/>
    </xf>
    <xf numFmtId="0" fontId="51" fillId="43" borderId="110" xfId="128" applyFont="1" applyFill="1" applyBorder="1" applyAlignment="1">
      <alignment horizontal="center" vertical="center" wrapText="1"/>
    </xf>
    <xf numFmtId="0" fontId="93" fillId="0" borderId="108" xfId="128" applyFont="1" applyBorder="1" applyAlignment="1">
      <alignment horizontal="right" vertical="center" indent="1"/>
    </xf>
    <xf numFmtId="0" fontId="93" fillId="0" borderId="108" xfId="128" applyFont="1" applyBorder="1" applyAlignment="1">
      <alignment horizontal="left" vertical="center"/>
    </xf>
    <xf numFmtId="0" fontId="47" fillId="0" borderId="108" xfId="128" applyFont="1" applyBorder="1" applyAlignment="1">
      <alignment horizontal="center" vertical="center"/>
    </xf>
    <xf numFmtId="0" fontId="51" fillId="43" borderId="115" xfId="128" applyFont="1" applyFill="1" applyBorder="1" applyAlignment="1">
      <alignment horizontal="center" vertical="center" wrapText="1"/>
    </xf>
    <xf numFmtId="0" fontId="49" fillId="0" borderId="85" xfId="128" applyFont="1" applyBorder="1" applyAlignment="1">
      <alignment horizontal="center" vertical="center"/>
    </xf>
    <xf numFmtId="0" fontId="49" fillId="0" borderId="85" xfId="128" applyFont="1" applyBorder="1" applyAlignment="1">
      <alignment horizontal="left" vertical="center"/>
    </xf>
    <xf numFmtId="0" fontId="56" fillId="0" borderId="85" xfId="128" applyFont="1" applyBorder="1" applyAlignment="1">
      <alignment horizontal="left" vertical="center"/>
    </xf>
    <xf numFmtId="0" fontId="51" fillId="0" borderId="0" xfId="128" applyFont="1" applyAlignment="1">
      <alignment horizontal="left" vertical="center"/>
    </xf>
    <xf numFmtId="0" fontId="56" fillId="0" borderId="51" xfId="128" applyFont="1" applyBorder="1" applyAlignment="1">
      <alignment horizontal="left" vertical="center"/>
    </xf>
    <xf numFmtId="0" fontId="56" fillId="0" borderId="51" xfId="128" applyFont="1" applyBorder="1" applyAlignment="1">
      <alignment horizontal="center" vertical="center"/>
    </xf>
    <xf numFmtId="0" fontId="47" fillId="0" borderId="46" xfId="128" applyFont="1" applyBorder="1" applyAlignment="1">
      <alignment horizontal="center" vertical="center"/>
    </xf>
    <xf numFmtId="0" fontId="47" fillId="0" borderId="46" xfId="128" applyFont="1" applyBorder="1" applyAlignment="1">
      <alignment horizontal="left" vertical="center"/>
    </xf>
    <xf numFmtId="0" fontId="47" fillId="0" borderId="119" xfId="128" applyFont="1" applyBorder="1" applyAlignment="1">
      <alignment horizontal="left" vertical="center"/>
    </xf>
    <xf numFmtId="0" fontId="47" fillId="0" borderId="120" xfId="128" applyFont="1" applyBorder="1" applyAlignment="1">
      <alignment horizontal="left" vertical="center"/>
    </xf>
    <xf numFmtId="0" fontId="49" fillId="0" borderId="121" xfId="128" applyFont="1" applyBorder="1" applyAlignment="1">
      <alignment horizontal="left" vertical="center"/>
    </xf>
    <xf numFmtId="0" fontId="49" fillId="43" borderId="14" xfId="128" applyFont="1" applyFill="1" applyBorder="1" applyAlignment="1" applyProtection="1">
      <alignment horizontal="left" vertical="center"/>
      <protection locked="0"/>
    </xf>
    <xf numFmtId="0" fontId="51" fillId="0" borderId="46" xfId="128" applyFont="1" applyBorder="1" applyAlignment="1">
      <alignment horizontal="center" vertical="center" wrapText="1"/>
    </xf>
    <xf numFmtId="0" fontId="47" fillId="0" borderId="50" xfId="128" applyFont="1" applyBorder="1" applyAlignment="1">
      <alignment horizontal="center" vertical="center"/>
    </xf>
    <xf numFmtId="0" fontId="47" fillId="0" borderId="50" xfId="128" applyFont="1" applyBorder="1" applyAlignment="1">
      <alignment horizontal="left" vertical="center"/>
    </xf>
    <xf numFmtId="0" fontId="47" fillId="0" borderId="122" xfId="128" applyFont="1" applyBorder="1">
      <alignment vertical="center"/>
    </xf>
    <xf numFmtId="0" fontId="47" fillId="0" borderId="123" xfId="128" applyFont="1" applyBorder="1" applyAlignment="1">
      <alignment horizontal="left" vertical="center"/>
    </xf>
    <xf numFmtId="0" fontId="47" fillId="0" borderId="124" xfId="128" applyFont="1" applyBorder="1" applyAlignment="1">
      <alignment horizontal="left" vertical="center"/>
    </xf>
    <xf numFmtId="0" fontId="49" fillId="0" borderId="125" xfId="128" applyFont="1" applyBorder="1" applyAlignment="1">
      <alignment horizontal="left" vertical="center"/>
    </xf>
    <xf numFmtId="0" fontId="56" fillId="0" borderId="50" xfId="128" applyFont="1" applyBorder="1" applyAlignment="1">
      <alignment horizontal="center" vertical="center"/>
    </xf>
    <xf numFmtId="0" fontId="49" fillId="0" borderId="0" xfId="128" applyFont="1" applyAlignment="1">
      <alignment horizontal="right" vertical="center"/>
    </xf>
    <xf numFmtId="0" fontId="58" fillId="0" borderId="0" xfId="124">
      <alignment vertical="center"/>
    </xf>
    <xf numFmtId="0" fontId="58" fillId="0" borderId="0" xfId="124" applyAlignment="1">
      <alignment horizontal="center" vertical="center"/>
    </xf>
    <xf numFmtId="0" fontId="47" fillId="0" borderId="0" xfId="128" applyFont="1" applyAlignment="1">
      <alignment horizontal="center" vertical="center"/>
    </xf>
    <xf numFmtId="0" fontId="93" fillId="0" borderId="0" xfId="128" applyFont="1" applyAlignment="1">
      <alignment horizontal="right" vertical="center" indent="1"/>
    </xf>
    <xf numFmtId="0" fontId="93" fillId="0" borderId="0" xfId="128" applyFont="1" applyAlignment="1">
      <alignment horizontal="left" vertical="center"/>
    </xf>
    <xf numFmtId="0" fontId="49" fillId="0" borderId="75" xfId="128" applyFont="1" applyBorder="1" applyAlignment="1">
      <alignment horizontal="center" vertical="center"/>
    </xf>
    <xf numFmtId="0" fontId="49" fillId="0" borderId="75" xfId="128" applyFont="1" applyBorder="1" applyAlignment="1">
      <alignment horizontal="left" vertical="center"/>
    </xf>
    <xf numFmtId="0" fontId="49" fillId="0" borderId="76" xfId="128" applyFont="1" applyBorder="1">
      <alignment vertical="center"/>
    </xf>
    <xf numFmtId="0" fontId="49" fillId="0" borderId="77" xfId="128" applyFont="1" applyBorder="1">
      <alignment vertical="center"/>
    </xf>
    <xf numFmtId="0" fontId="49" fillId="0" borderId="76" xfId="128" applyFont="1" applyBorder="1" applyAlignment="1">
      <alignment horizontal="left" vertical="center"/>
    </xf>
    <xf numFmtId="0" fontId="49" fillId="0" borderId="79" xfId="128" applyFont="1" applyBorder="1" applyAlignment="1">
      <alignment horizontal="left" vertical="center"/>
    </xf>
    <xf numFmtId="0" fontId="49" fillId="0" borderId="80" xfId="128" applyFont="1" applyBorder="1">
      <alignment vertical="center"/>
    </xf>
    <xf numFmtId="0" fontId="49" fillId="0" borderId="81" xfId="128" applyFont="1" applyBorder="1" applyAlignment="1">
      <alignment horizontal="left" vertical="center"/>
    </xf>
    <xf numFmtId="0" fontId="49" fillId="0" borderId="87" xfId="128" applyFont="1" applyBorder="1" applyAlignment="1">
      <alignment horizontal="left" vertical="center"/>
    </xf>
    <xf numFmtId="0" fontId="49" fillId="0" borderId="88" xfId="128" applyFont="1" applyBorder="1">
      <alignment vertical="center"/>
    </xf>
    <xf numFmtId="0" fontId="49" fillId="0" borderId="89" xfId="128" applyFont="1" applyBorder="1" applyAlignment="1">
      <alignment horizontal="left" vertical="center"/>
    </xf>
    <xf numFmtId="0" fontId="49" fillId="0" borderId="90" xfId="128" applyFont="1" applyBorder="1">
      <alignment vertical="center"/>
    </xf>
    <xf numFmtId="0" fontId="49" fillId="0" borderId="92" xfId="128" applyFont="1" applyBorder="1" applyAlignment="1">
      <alignment horizontal="left" vertical="center"/>
    </xf>
    <xf numFmtId="0" fontId="49" fillId="0" borderId="93" xfId="128" applyFont="1" applyBorder="1" applyAlignment="1">
      <alignment horizontal="left" vertical="center"/>
    </xf>
    <xf numFmtId="0" fontId="49" fillId="0" borderId="94" xfId="128" applyFont="1" applyBorder="1">
      <alignment vertical="center"/>
    </xf>
    <xf numFmtId="0" fontId="49" fillId="0" borderId="102" xfId="128" applyFont="1" applyBorder="1" applyAlignment="1">
      <alignment horizontal="left" vertical="center"/>
    </xf>
    <xf numFmtId="0" fontId="51" fillId="43" borderId="98" xfId="128" applyFont="1" applyFill="1" applyBorder="1" applyAlignment="1">
      <alignment horizontal="center" vertical="center" wrapText="1"/>
    </xf>
    <xf numFmtId="0" fontId="49" fillId="0" borderId="74" xfId="128" applyFont="1" applyBorder="1" applyAlignment="1">
      <alignment horizontal="center" vertical="center"/>
    </xf>
    <xf numFmtId="0" fontId="56" fillId="0" borderId="76" xfId="128" applyFont="1" applyBorder="1" applyAlignment="1">
      <alignment horizontal="left" vertical="center"/>
    </xf>
    <xf numFmtId="0" fontId="49" fillId="0" borderId="103" xfId="128" applyFont="1" applyBorder="1" applyAlignment="1">
      <alignment horizontal="left" vertical="center"/>
    </xf>
    <xf numFmtId="0" fontId="56" fillId="0" borderId="78" xfId="128" applyFont="1" applyBorder="1" applyAlignment="1">
      <alignment horizontal="left" vertical="center"/>
    </xf>
    <xf numFmtId="0" fontId="49" fillId="0" borderId="0" xfId="128" applyFont="1" applyAlignment="1">
      <alignment horizontal="center" vertical="center" shrinkToFit="1"/>
    </xf>
    <xf numFmtId="0" fontId="49" fillId="0" borderId="75" xfId="128" applyFont="1" applyBorder="1">
      <alignment vertical="center"/>
    </xf>
    <xf numFmtId="0" fontId="49" fillId="0" borderId="103" xfId="128" applyFont="1" applyBorder="1">
      <alignment vertical="center"/>
    </xf>
    <xf numFmtId="0" fontId="49" fillId="0" borderId="116" xfId="128" applyFont="1" applyBorder="1">
      <alignment vertical="center"/>
    </xf>
    <xf numFmtId="0" fontId="49" fillId="0" borderId="79" xfId="128" applyFont="1" applyBorder="1">
      <alignment vertical="center"/>
    </xf>
    <xf numFmtId="0" fontId="49" fillId="0" borderId="81" xfId="128" applyFont="1" applyBorder="1">
      <alignment vertical="center"/>
    </xf>
    <xf numFmtId="0" fontId="49" fillId="0" borderId="87" xfId="128" applyFont="1" applyBorder="1">
      <alignment vertical="center"/>
    </xf>
    <xf numFmtId="0" fontId="49" fillId="0" borderId="89" xfId="128" applyFont="1" applyBorder="1">
      <alignment vertical="center"/>
    </xf>
    <xf numFmtId="0" fontId="56" fillId="0" borderId="88" xfId="128" applyFont="1" applyBorder="1" applyAlignment="1">
      <alignment horizontal="left" vertical="center"/>
    </xf>
    <xf numFmtId="0" fontId="49" fillId="0" borderId="107" xfId="128" applyFont="1" applyBorder="1">
      <alignment vertical="center"/>
    </xf>
    <xf numFmtId="0" fontId="56" fillId="0" borderId="108" xfId="128" applyFont="1" applyBorder="1" applyAlignment="1">
      <alignment horizontal="left" vertical="center"/>
    </xf>
    <xf numFmtId="0" fontId="49" fillId="0" borderId="112" xfId="128" applyFont="1" applyBorder="1">
      <alignment vertical="center"/>
    </xf>
    <xf numFmtId="0" fontId="49" fillId="0" borderId="76" xfId="128" applyFont="1" applyBorder="1" applyAlignment="1">
      <alignment horizontal="center" vertical="center" shrinkToFit="1"/>
    </xf>
    <xf numFmtId="0" fontId="49" fillId="0" borderId="104" xfId="128" applyFont="1" applyBorder="1">
      <alignment vertical="center"/>
    </xf>
    <xf numFmtId="0" fontId="49" fillId="0" borderId="126" xfId="128" applyFont="1" applyBorder="1" applyAlignment="1">
      <alignment vertical="center" shrinkToFit="1"/>
    </xf>
    <xf numFmtId="0" fontId="49" fillId="0" borderId="112" xfId="128" applyFont="1" applyBorder="1" applyAlignment="1">
      <alignment vertical="center" shrinkToFit="1"/>
    </xf>
    <xf numFmtId="0" fontId="100" fillId="0" borderId="0" xfId="128" applyFont="1">
      <alignment vertical="center"/>
    </xf>
    <xf numFmtId="49" fontId="100" fillId="0" borderId="0" xfId="128" applyNumberFormat="1" applyFont="1" applyAlignment="1">
      <alignment horizontal="right" vertical="center"/>
    </xf>
    <xf numFmtId="0" fontId="101" fillId="43" borderId="0" xfId="128" applyFont="1" applyFill="1">
      <alignment vertical="center"/>
    </xf>
    <xf numFmtId="0" fontId="55" fillId="32" borderId="0" xfId="129" applyFont="1" applyFill="1" applyAlignment="1" applyProtection="1">
      <alignment horizontal="center" vertical="center" shrinkToFit="1"/>
      <protection locked="0"/>
    </xf>
    <xf numFmtId="0" fontId="100" fillId="0" borderId="0" xfId="128" applyFont="1" applyAlignment="1">
      <alignment horizontal="center" vertical="center"/>
    </xf>
    <xf numFmtId="0" fontId="100" fillId="44" borderId="0" xfId="128" applyFont="1" applyFill="1" applyAlignment="1" applyProtection="1">
      <alignment horizontal="center" vertical="center"/>
      <protection locked="0"/>
    </xf>
    <xf numFmtId="0" fontId="55" fillId="0" borderId="0" xfId="120" applyFont="1" applyAlignment="1">
      <alignment horizontal="left" vertical="center"/>
    </xf>
    <xf numFmtId="0" fontId="55" fillId="0" borderId="0" xfId="120" applyFont="1" applyAlignment="1">
      <alignment horizontal="left"/>
    </xf>
    <xf numFmtId="0" fontId="55" fillId="0" borderId="0" xfId="120" applyFont="1" applyAlignment="1">
      <alignment horizontal="center" vertical="center"/>
    </xf>
    <xf numFmtId="0" fontId="91" fillId="0" borderId="0" xfId="128" applyFont="1" applyAlignment="1">
      <alignment horizontal="center" vertical="center"/>
    </xf>
    <xf numFmtId="0" fontId="55" fillId="0" borderId="0" xfId="120" applyFont="1"/>
    <xf numFmtId="0" fontId="55" fillId="0" borderId="0" xfId="120" applyFont="1" applyAlignment="1">
      <alignment vertical="center" wrapText="1"/>
    </xf>
    <xf numFmtId="0" fontId="55" fillId="0" borderId="0" xfId="120" applyFont="1" applyAlignment="1" applyProtection="1">
      <alignment horizontal="center" vertical="center"/>
      <protection locked="0"/>
    </xf>
    <xf numFmtId="0" fontId="55" fillId="0" borderId="49" xfId="120" applyFont="1" applyBorder="1" applyAlignment="1">
      <alignment horizontal="left" vertical="center"/>
    </xf>
    <xf numFmtId="0" fontId="55" fillId="0" borderId="49" xfId="120" applyFont="1" applyBorder="1" applyAlignment="1">
      <alignment horizontal="left"/>
    </xf>
    <xf numFmtId="0" fontId="55" fillId="0" borderId="49" xfId="120" applyFont="1" applyBorder="1" applyAlignment="1">
      <alignment vertical="center" wrapText="1"/>
    </xf>
    <xf numFmtId="0" fontId="55" fillId="0" borderId="127" xfId="120" applyFont="1" applyBorder="1" applyAlignment="1">
      <alignment horizontal="left" vertical="center"/>
    </xf>
    <xf numFmtId="0" fontId="55" fillId="0" borderId="0" xfId="120" applyFont="1" applyAlignment="1">
      <alignment vertical="center"/>
    </xf>
    <xf numFmtId="0" fontId="55" fillId="0" borderId="51" xfId="120" applyFont="1" applyBorder="1" applyAlignment="1">
      <alignment horizontal="left" vertical="center"/>
    </xf>
    <xf numFmtId="49" fontId="55" fillId="32" borderId="0" xfId="129" applyNumberFormat="1" applyFont="1" applyFill="1" applyAlignment="1" applyProtection="1">
      <alignment horizontal="center" vertical="center" shrinkToFit="1"/>
      <protection locked="0"/>
    </xf>
    <xf numFmtId="0" fontId="100" fillId="0" borderId="0" xfId="128" applyFont="1" applyAlignment="1">
      <alignment horizontal="right" vertical="center"/>
    </xf>
    <xf numFmtId="0" fontId="100" fillId="44" borderId="0" xfId="128" applyFont="1" applyFill="1" applyAlignment="1">
      <alignment horizontal="center" vertical="center"/>
    </xf>
    <xf numFmtId="0" fontId="100" fillId="0" borderId="49" xfId="128" applyFont="1" applyBorder="1">
      <alignment vertical="center"/>
    </xf>
    <xf numFmtId="0" fontId="100" fillId="0" borderId="32" xfId="128" applyFont="1" applyBorder="1">
      <alignment vertical="center"/>
    </xf>
    <xf numFmtId="0" fontId="100" fillId="45" borderId="49" xfId="128" applyFont="1" applyFill="1" applyBorder="1" applyProtection="1">
      <alignment vertical="center"/>
      <protection locked="0"/>
    </xf>
    <xf numFmtId="0" fontId="100" fillId="0" borderId="127" xfId="128" applyFont="1" applyBorder="1">
      <alignment vertical="center"/>
    </xf>
    <xf numFmtId="0" fontId="105" fillId="0" borderId="127" xfId="128" applyFont="1" applyBorder="1">
      <alignment vertical="center"/>
    </xf>
    <xf numFmtId="0" fontId="105" fillId="0" borderId="14" xfId="128" applyFont="1" applyBorder="1">
      <alignment vertical="center"/>
    </xf>
    <xf numFmtId="0" fontId="100" fillId="0" borderId="12" xfId="128" applyFont="1" applyBorder="1" applyAlignment="1">
      <alignment horizontal="left" vertical="center"/>
    </xf>
    <xf numFmtId="0" fontId="100" fillId="0" borderId="51" xfId="128" applyFont="1" applyBorder="1" applyAlignment="1">
      <alignment horizontal="left" vertical="center"/>
    </xf>
    <xf numFmtId="0" fontId="100" fillId="0" borderId="22" xfId="128" applyFont="1" applyBorder="1" applyAlignment="1">
      <alignment horizontal="left" vertical="center"/>
    </xf>
    <xf numFmtId="0" fontId="100" fillId="0" borderId="51" xfId="128" applyFont="1" applyBorder="1">
      <alignment vertical="center"/>
    </xf>
    <xf numFmtId="0" fontId="101" fillId="43" borderId="51" xfId="128" applyFont="1" applyFill="1" applyBorder="1">
      <alignment vertical="center"/>
    </xf>
    <xf numFmtId="0" fontId="100" fillId="0" borderId="22" xfId="128" applyFont="1" applyBorder="1">
      <alignment vertical="center"/>
    </xf>
    <xf numFmtId="0" fontId="100" fillId="0" borderId="0" xfId="128" applyFont="1" applyAlignment="1">
      <alignment horizontal="left" vertical="center" shrinkToFit="1"/>
    </xf>
    <xf numFmtId="0" fontId="15" fillId="0" borderId="0" xfId="126" applyFont="1">
      <alignment vertical="center"/>
    </xf>
    <xf numFmtId="0" fontId="15" fillId="32" borderId="0" xfId="129" applyFont="1" applyFill="1" applyAlignment="1" applyProtection="1">
      <alignment horizontal="center" vertical="center" shrinkToFit="1"/>
      <protection locked="0"/>
    </xf>
    <xf numFmtId="0" fontId="14" fillId="0" borderId="0" xfId="126" applyFont="1" applyAlignment="1">
      <alignment horizontal="center" vertical="center"/>
    </xf>
    <xf numFmtId="0" fontId="15" fillId="0" borderId="0" xfId="126" applyFont="1" applyAlignment="1">
      <alignment horizontal="right" vertical="center"/>
    </xf>
    <xf numFmtId="0" fontId="15" fillId="44" borderId="0" xfId="126" applyFont="1" applyFill="1" applyAlignment="1">
      <alignment horizontal="center" vertical="center"/>
    </xf>
    <xf numFmtId="0" fontId="15" fillId="43" borderId="10" xfId="126" applyFont="1" applyFill="1" applyBorder="1">
      <alignment vertical="center"/>
    </xf>
    <xf numFmtId="0" fontId="15" fillId="0" borderId="127" xfId="126" applyFont="1" applyBorder="1">
      <alignment vertical="center"/>
    </xf>
    <xf numFmtId="0" fontId="15" fillId="43" borderId="127" xfId="126" applyFont="1" applyFill="1" applyBorder="1">
      <alignment vertical="center"/>
    </xf>
    <xf numFmtId="0" fontId="15" fillId="0" borderId="14" xfId="126" applyFont="1" applyBorder="1">
      <alignment vertical="center"/>
    </xf>
    <xf numFmtId="0" fontId="15" fillId="0" borderId="12" xfId="126" applyFont="1" applyBorder="1">
      <alignment vertical="center"/>
    </xf>
    <xf numFmtId="0" fontId="15" fillId="0" borderId="51" xfId="126" applyFont="1" applyBorder="1" applyAlignment="1">
      <alignment horizontal="center" vertical="center"/>
    </xf>
    <xf numFmtId="0" fontId="15" fillId="0" borderId="51" xfId="126" applyFont="1" applyBorder="1">
      <alignment vertical="center"/>
    </xf>
    <xf numFmtId="0" fontId="15" fillId="0" borderId="22" xfId="126" applyFont="1" applyBorder="1">
      <alignment vertical="center"/>
    </xf>
    <xf numFmtId="0" fontId="15" fillId="0" borderId="128" xfId="127" applyFont="1" applyBorder="1" applyAlignment="1">
      <alignment horizontal="left" vertical="center"/>
    </xf>
    <xf numFmtId="0" fontId="15" fillId="0" borderId="128" xfId="127" applyFont="1" applyBorder="1" applyAlignment="1">
      <alignment horizontal="left"/>
    </xf>
    <xf numFmtId="0" fontId="15" fillId="0" borderId="24" xfId="127" applyFont="1" applyBorder="1" applyAlignment="1">
      <alignment horizontal="left" vertical="center"/>
    </xf>
    <xf numFmtId="0" fontId="15" fillId="0" borderId="52" xfId="127" applyFont="1" applyBorder="1" applyAlignment="1">
      <alignment vertical="center"/>
    </xf>
    <xf numFmtId="0" fontId="15" fillId="0" borderId="45" xfId="127" applyFont="1" applyBorder="1" applyAlignment="1">
      <alignment vertical="center"/>
    </xf>
    <xf numFmtId="0" fontId="15" fillId="0" borderId="52" xfId="127" applyFont="1" applyBorder="1" applyAlignment="1">
      <alignment horizontal="left" vertical="center"/>
    </xf>
    <xf numFmtId="0" fontId="15" fillId="0" borderId="52" xfId="127" applyFont="1" applyBorder="1" applyAlignment="1">
      <alignment horizontal="left"/>
    </xf>
    <xf numFmtId="0" fontId="15" fillId="0" borderId="45" xfId="127" applyFont="1" applyBorder="1" applyAlignment="1">
      <alignment horizontal="left" vertical="center"/>
    </xf>
    <xf numFmtId="0" fontId="15" fillId="0" borderId="10" xfId="126" applyFont="1" applyBorder="1" applyAlignment="1">
      <alignment horizontal="left" vertical="center"/>
    </xf>
    <xf numFmtId="0" fontId="15" fillId="0" borderId="10" xfId="126" applyFont="1" applyBorder="1">
      <alignment vertical="center"/>
    </xf>
    <xf numFmtId="0" fontId="15" fillId="0" borderId="11" xfId="126" applyFont="1" applyBorder="1" applyAlignment="1">
      <alignment horizontal="center" vertical="center"/>
    </xf>
    <xf numFmtId="0" fontId="15" fillId="0" borderId="15" xfId="126" applyFont="1" applyBorder="1">
      <alignment vertical="center"/>
    </xf>
    <xf numFmtId="0" fontId="15" fillId="0" borderId="11" xfId="126" applyFont="1" applyBorder="1">
      <alignment vertical="center"/>
    </xf>
    <xf numFmtId="0" fontId="15" fillId="0" borderId="12" xfId="126" applyFont="1" applyBorder="1" applyAlignment="1">
      <alignment horizontal="center" vertical="center"/>
    </xf>
    <xf numFmtId="0" fontId="15" fillId="0" borderId="128" xfId="127" applyFont="1" applyBorder="1" applyAlignment="1">
      <alignment vertical="center"/>
    </xf>
    <xf numFmtId="0" fontId="15" fillId="0" borderId="24" xfId="127" applyFont="1" applyBorder="1" applyAlignment="1">
      <alignment vertical="center"/>
    </xf>
    <xf numFmtId="0" fontId="15" fillId="43" borderId="11" xfId="126" applyFont="1" applyFill="1" applyBorder="1" applyProtection="1">
      <alignment vertical="center"/>
      <protection locked="0"/>
    </xf>
    <xf numFmtId="0" fontId="15" fillId="0" borderId="0" xfId="126" applyFont="1" applyProtection="1">
      <alignment vertical="center"/>
      <protection locked="0"/>
    </xf>
    <xf numFmtId="0" fontId="15" fillId="43" borderId="0" xfId="126" applyFont="1" applyFill="1" applyProtection="1">
      <alignment vertical="center"/>
      <protection locked="0"/>
    </xf>
    <xf numFmtId="0" fontId="15" fillId="0" borderId="15" xfId="126" applyFont="1" applyBorder="1" applyProtection="1">
      <alignment vertical="center"/>
      <protection locked="0"/>
    </xf>
    <xf numFmtId="0" fontId="15" fillId="43" borderId="10" xfId="126" applyFont="1" applyFill="1" applyBorder="1" applyProtection="1">
      <alignment vertical="center"/>
      <protection locked="0"/>
    </xf>
    <xf numFmtId="0" fontId="15" fillId="0" borderId="127" xfId="126" applyFont="1" applyBorder="1" applyProtection="1">
      <alignment vertical="center"/>
      <protection locked="0"/>
    </xf>
    <xf numFmtId="0" fontId="15" fillId="43" borderId="127" xfId="126" applyFont="1" applyFill="1" applyBorder="1" applyProtection="1">
      <alignment vertical="center"/>
      <protection locked="0"/>
    </xf>
    <xf numFmtId="0" fontId="15" fillId="0" borderId="14" xfId="126" applyFont="1" applyBorder="1" applyProtection="1">
      <alignment vertical="center"/>
      <protection locked="0"/>
    </xf>
    <xf numFmtId="0" fontId="15" fillId="0" borderId="11" xfId="126" applyFont="1" applyBorder="1" applyAlignment="1">
      <alignment horizontal="left" vertical="center"/>
    </xf>
    <xf numFmtId="0" fontId="15" fillId="0" borderId="15" xfId="126" applyFont="1" applyBorder="1" applyAlignment="1">
      <alignment horizontal="left" vertical="center"/>
    </xf>
    <xf numFmtId="0" fontId="11" fillId="0" borderId="0" xfId="126" applyFont="1">
      <alignment vertical="center"/>
    </xf>
    <xf numFmtId="0" fontId="68" fillId="0" borderId="0" xfId="126" applyFont="1" applyAlignment="1">
      <alignment horizontal="left" vertical="center"/>
    </xf>
    <xf numFmtId="0" fontId="11" fillId="0" borderId="129" xfId="126" applyFont="1" applyBorder="1" applyAlignment="1">
      <alignment horizontal="center" vertical="center" wrapText="1"/>
    </xf>
    <xf numFmtId="0" fontId="11" fillId="0" borderId="130" xfId="126" applyFont="1" applyBorder="1" applyAlignment="1">
      <alignment horizontal="center" vertical="center" wrapText="1"/>
    </xf>
    <xf numFmtId="0" fontId="11" fillId="0" borderId="131" xfId="126" applyFont="1" applyBorder="1">
      <alignment vertical="center"/>
    </xf>
    <xf numFmtId="0" fontId="11" fillId="0" borderId="132" xfId="126" applyFont="1" applyBorder="1">
      <alignment vertical="center"/>
    </xf>
    <xf numFmtId="0" fontId="11" fillId="0" borderId="133" xfId="126" applyFont="1" applyBorder="1">
      <alignment vertical="center"/>
    </xf>
    <xf numFmtId="0" fontId="11" fillId="43" borderId="131" xfId="126" applyFont="1" applyFill="1" applyBorder="1" applyProtection="1">
      <alignment vertical="center"/>
      <protection locked="0"/>
    </xf>
    <xf numFmtId="0" fontId="11" fillId="0" borderId="134" xfId="126" applyFont="1" applyBorder="1" applyProtection="1">
      <alignment vertical="center"/>
      <protection locked="0"/>
    </xf>
    <xf numFmtId="0" fontId="11" fillId="43" borderId="134" xfId="126" applyFont="1" applyFill="1" applyBorder="1" applyProtection="1">
      <alignment vertical="center"/>
      <protection locked="0"/>
    </xf>
    <xf numFmtId="0" fontId="11" fillId="0" borderId="135" xfId="126" applyFont="1" applyBorder="1" applyProtection="1">
      <alignment vertical="center"/>
      <protection locked="0"/>
    </xf>
    <xf numFmtId="0" fontId="11" fillId="0" borderId="21" xfId="126" applyFont="1" applyBorder="1">
      <alignment vertical="center"/>
    </xf>
    <xf numFmtId="0" fontId="11" fillId="0" borderId="32" xfId="126" applyFont="1" applyBorder="1">
      <alignment vertical="center"/>
    </xf>
    <xf numFmtId="0" fontId="11" fillId="0" borderId="13" xfId="126" applyFont="1" applyBorder="1">
      <alignment vertical="center"/>
    </xf>
    <xf numFmtId="0" fontId="11" fillId="43" borderId="21" xfId="126" applyFont="1" applyFill="1" applyBorder="1" applyProtection="1">
      <alignment vertical="center"/>
      <protection locked="0"/>
    </xf>
    <xf numFmtId="0" fontId="11" fillId="0" borderId="49" xfId="126" applyFont="1" applyBorder="1" applyProtection="1">
      <alignment vertical="center"/>
      <protection locked="0"/>
    </xf>
    <xf numFmtId="0" fontId="11" fillId="43" borderId="49" xfId="126" applyFont="1" applyFill="1" applyBorder="1" applyProtection="1">
      <alignment vertical="center"/>
      <protection locked="0"/>
    </xf>
    <xf numFmtId="0" fontId="11" fillId="0" borderId="136" xfId="126" applyFont="1" applyBorder="1" applyProtection="1">
      <alignment vertical="center"/>
      <protection locked="0"/>
    </xf>
    <xf numFmtId="0" fontId="11" fillId="0" borderId="21" xfId="126" applyFont="1" applyBorder="1" applyProtection="1">
      <alignment vertical="center"/>
      <protection locked="0"/>
    </xf>
    <xf numFmtId="0" fontId="11" fillId="0" borderId="137" xfId="126" applyFont="1" applyBorder="1">
      <alignment vertical="center"/>
    </xf>
    <xf numFmtId="0" fontId="11" fillId="0" borderId="138" xfId="126" applyFont="1" applyBorder="1">
      <alignment vertical="center"/>
    </xf>
    <xf numFmtId="0" fontId="11" fillId="0" borderId="139" xfId="126" applyFont="1" applyBorder="1">
      <alignment vertical="center"/>
    </xf>
    <xf numFmtId="0" fontId="11" fillId="43" borderId="137" xfId="126" applyFont="1" applyFill="1" applyBorder="1" applyProtection="1">
      <alignment vertical="center"/>
      <protection locked="0"/>
    </xf>
    <xf numFmtId="0" fontId="11" fillId="0" borderId="140" xfId="126" applyFont="1" applyBorder="1" applyProtection="1">
      <alignment vertical="center"/>
      <protection locked="0"/>
    </xf>
    <xf numFmtId="0" fontId="11" fillId="43" borderId="140" xfId="126" applyFont="1" applyFill="1" applyBorder="1" applyProtection="1">
      <alignment vertical="center"/>
      <protection locked="0"/>
    </xf>
    <xf numFmtId="0" fontId="11" fillId="0" borderId="141" xfId="126" applyFont="1" applyBorder="1" applyProtection="1">
      <alignment vertical="center"/>
      <protection locked="0"/>
    </xf>
    <xf numFmtId="0" fontId="11" fillId="0" borderId="131" xfId="126" applyFont="1" applyBorder="1" applyProtection="1">
      <alignment vertical="center"/>
      <protection locked="0"/>
    </xf>
    <xf numFmtId="0" fontId="11" fillId="41" borderId="129" xfId="126" applyFont="1" applyFill="1" applyBorder="1" applyAlignment="1" applyProtection="1">
      <alignment horizontal="center" vertical="center"/>
      <protection locked="0"/>
    </xf>
    <xf numFmtId="0" fontId="11" fillId="41" borderId="130" xfId="126" applyFont="1" applyFill="1" applyBorder="1" applyAlignment="1" applyProtection="1">
      <alignment horizontal="center" vertical="center"/>
      <protection locked="0"/>
    </xf>
    <xf numFmtId="0" fontId="11" fillId="0" borderId="137" xfId="126" applyFont="1" applyBorder="1" applyProtection="1">
      <alignment vertical="center"/>
      <protection locked="0"/>
    </xf>
    <xf numFmtId="0" fontId="15" fillId="0" borderId="0" xfId="127" applyFont="1" applyAlignment="1" applyProtection="1">
      <alignment horizontal="right" vertical="center"/>
      <protection locked="0"/>
    </xf>
    <xf numFmtId="0" fontId="15" fillId="0" borderId="0" xfId="127" applyFont="1" applyAlignment="1" applyProtection="1">
      <alignment horizontal="left" vertical="center"/>
      <protection locked="0"/>
    </xf>
    <xf numFmtId="0" fontId="15" fillId="0" borderId="0" xfId="127" applyFont="1" applyAlignment="1" applyProtection="1">
      <alignment horizontal="left"/>
      <protection locked="0"/>
    </xf>
    <xf numFmtId="0" fontId="15" fillId="0" borderId="0" xfId="127" applyFont="1" applyAlignment="1" applyProtection="1">
      <alignment vertical="center"/>
      <protection locked="0"/>
    </xf>
    <xf numFmtId="0" fontId="11" fillId="0" borderId="0" xfId="126" applyFont="1" applyAlignment="1">
      <alignment horizontal="center" vertical="center"/>
    </xf>
    <xf numFmtId="0" fontId="56" fillId="0" borderId="0" xfId="131" applyFont="1" applyAlignment="1">
      <alignment horizontal="left" vertical="center"/>
    </xf>
    <xf numFmtId="0" fontId="56" fillId="0" borderId="0" xfId="131" applyFont="1">
      <alignment vertical="center"/>
    </xf>
    <xf numFmtId="0" fontId="107" fillId="0" borderId="0" xfId="131" applyFont="1" applyAlignment="1">
      <alignment horizontal="right" vertical="center"/>
    </xf>
    <xf numFmtId="0" fontId="56" fillId="0" borderId="0" xfId="131" applyFont="1" applyAlignment="1">
      <alignment horizontal="center" vertical="center"/>
    </xf>
    <xf numFmtId="0" fontId="56" fillId="40" borderId="0" xfId="131" applyFont="1" applyFill="1" applyAlignment="1">
      <alignment horizontal="left" vertical="center"/>
    </xf>
    <xf numFmtId="0" fontId="87" fillId="40" borderId="0" xfId="131" applyFont="1" applyFill="1" applyAlignment="1">
      <alignment horizontal="center" vertical="center"/>
    </xf>
    <xf numFmtId="0" fontId="84" fillId="44" borderId="51" xfId="131" applyFont="1" applyFill="1" applyBorder="1" applyAlignment="1" applyProtection="1">
      <alignment horizontal="right" vertical="center"/>
      <protection locked="0"/>
    </xf>
    <xf numFmtId="0" fontId="51" fillId="0" borderId="51" xfId="131" applyFont="1" applyBorder="1" applyAlignment="1">
      <alignment horizontal="left" vertical="center"/>
    </xf>
    <xf numFmtId="0" fontId="56" fillId="0" borderId="51" xfId="131" applyFont="1" applyBorder="1" applyAlignment="1">
      <alignment horizontal="left" vertical="center"/>
    </xf>
    <xf numFmtId="0" fontId="51" fillId="0" borderId="51" xfId="131" applyFont="1" applyBorder="1" applyAlignment="1">
      <alignment horizontal="right" vertical="center"/>
    </xf>
    <xf numFmtId="0" fontId="51" fillId="0" borderId="51" xfId="131" applyFont="1" applyBorder="1" applyAlignment="1">
      <alignment horizontal="center" vertical="center"/>
    </xf>
    <xf numFmtId="0" fontId="56" fillId="0" borderId="49" xfId="131" applyFont="1" applyBorder="1">
      <alignment vertical="center"/>
    </xf>
    <xf numFmtId="0" fontId="56" fillId="0" borderId="49" xfId="131" applyFont="1" applyBorder="1" applyAlignment="1">
      <alignment horizontal="left" vertical="center"/>
    </xf>
    <xf numFmtId="0" fontId="56" fillId="0" borderId="49" xfId="131" applyFont="1" applyBorder="1" applyAlignment="1">
      <alignment horizontal="center" vertical="center"/>
    </xf>
    <xf numFmtId="0" fontId="51" fillId="0" borderId="49" xfId="131" applyFont="1" applyBorder="1">
      <alignment vertical="center"/>
    </xf>
    <xf numFmtId="0" fontId="51" fillId="0" borderId="49" xfId="131" applyFont="1" applyBorder="1" applyAlignment="1">
      <alignment horizontal="right" vertical="center"/>
    </xf>
    <xf numFmtId="0" fontId="51" fillId="0" borderId="49" xfId="131" applyFont="1" applyBorder="1" applyAlignment="1">
      <alignment horizontal="center" vertical="center"/>
    </xf>
    <xf numFmtId="0" fontId="56" fillId="40" borderId="0" xfId="131" applyFont="1" applyFill="1" applyAlignment="1">
      <alignment horizontal="center" vertical="center"/>
    </xf>
    <xf numFmtId="0" fontId="51" fillId="40" borderId="0" xfId="131" applyFont="1" applyFill="1" applyAlignment="1">
      <alignment horizontal="left" vertical="center"/>
    </xf>
    <xf numFmtId="0" fontId="51" fillId="40" borderId="0" xfId="131" applyFont="1" applyFill="1">
      <alignment vertical="center"/>
    </xf>
    <xf numFmtId="0" fontId="56" fillId="40" borderId="0" xfId="131" applyFont="1" applyFill="1" applyAlignment="1">
      <alignment horizontal="right" vertical="center"/>
    </xf>
    <xf numFmtId="0" fontId="90" fillId="42" borderId="49" xfId="131" applyFont="1" applyFill="1" applyBorder="1" applyAlignment="1">
      <alignment horizontal="left" vertical="center"/>
    </xf>
    <xf numFmtId="0" fontId="90" fillId="42" borderId="32" xfId="131" applyFont="1" applyFill="1" applyBorder="1" applyAlignment="1">
      <alignment horizontal="left" vertical="center"/>
    </xf>
    <xf numFmtId="0" fontId="49" fillId="0" borderId="13" xfId="131" applyFont="1" applyBorder="1" applyAlignment="1">
      <alignment horizontal="center" vertical="center"/>
    </xf>
    <xf numFmtId="0" fontId="49" fillId="0" borderId="13" xfId="131" applyFont="1" applyBorder="1" applyAlignment="1">
      <alignment horizontal="left" vertical="center"/>
    </xf>
    <xf numFmtId="0" fontId="49" fillId="0" borderId="49" xfId="131" applyFont="1" applyBorder="1">
      <alignment vertical="center"/>
    </xf>
    <xf numFmtId="0" fontId="49" fillId="0" borderId="49" xfId="131" applyFont="1" applyBorder="1" applyAlignment="1">
      <alignment horizontal="left" vertical="center"/>
    </xf>
    <xf numFmtId="0" fontId="49" fillId="0" borderId="142" xfId="131" applyFont="1" applyBorder="1">
      <alignment vertical="center"/>
    </xf>
    <xf numFmtId="0" fontId="49" fillId="0" borderId="32" xfId="131" applyFont="1" applyBorder="1">
      <alignment vertical="center"/>
    </xf>
    <xf numFmtId="0" fontId="49" fillId="43" borderId="13" xfId="131" applyFont="1" applyFill="1" applyBorder="1" applyAlignment="1">
      <alignment horizontal="left" vertical="center"/>
    </xf>
    <xf numFmtId="0" fontId="51" fillId="0" borderId="13" xfId="131" applyFont="1" applyBorder="1" applyAlignment="1">
      <alignment horizontal="center" vertical="center" wrapText="1"/>
    </xf>
    <xf numFmtId="0" fontId="49" fillId="0" borderId="0" xfId="131" applyFont="1" applyAlignment="1">
      <alignment horizontal="left" vertical="center"/>
    </xf>
    <xf numFmtId="0" fontId="49" fillId="0" borderId="46" xfId="131" applyFont="1" applyBorder="1" applyAlignment="1">
      <alignment horizontal="center" vertical="center"/>
    </xf>
    <xf numFmtId="0" fontId="49" fillId="0" borderId="46" xfId="131" applyFont="1" applyBorder="1" applyAlignment="1">
      <alignment horizontal="left" vertical="center"/>
    </xf>
    <xf numFmtId="0" fontId="49" fillId="0" borderId="10" xfId="131" applyFont="1" applyBorder="1" applyAlignment="1">
      <alignment horizontal="left" vertical="center"/>
    </xf>
    <xf numFmtId="0" fontId="49" fillId="0" borderId="127" xfId="131" applyFont="1" applyBorder="1" applyAlignment="1">
      <alignment horizontal="left" vertical="center"/>
    </xf>
    <xf numFmtId="0" fontId="49" fillId="43" borderId="46" xfId="131" applyFont="1" applyFill="1" applyBorder="1" applyAlignment="1">
      <alignment horizontal="left" vertical="center"/>
    </xf>
    <xf numFmtId="0" fontId="51" fillId="0" borderId="46" xfId="131" applyFont="1" applyBorder="1" applyAlignment="1">
      <alignment horizontal="center" vertical="center" wrapText="1"/>
    </xf>
    <xf numFmtId="0" fontId="49" fillId="0" borderId="143" xfId="131" applyFont="1" applyBorder="1" applyAlignment="1">
      <alignment horizontal="center" vertical="center"/>
    </xf>
    <xf numFmtId="0" fontId="49" fillId="0" borderId="143" xfId="131" applyFont="1" applyBorder="1" applyAlignment="1">
      <alignment horizontal="left" vertical="center"/>
    </xf>
    <xf numFmtId="0" fontId="107" fillId="0" borderId="16" xfId="131" applyFont="1" applyBorder="1">
      <alignment vertical="center"/>
    </xf>
    <xf numFmtId="0" fontId="107" fillId="0" borderId="144" xfId="131" applyFont="1" applyBorder="1">
      <alignment vertical="center"/>
    </xf>
    <xf numFmtId="0" fontId="107" fillId="0" borderId="144" xfId="131" applyFont="1" applyBorder="1" applyAlignment="1">
      <alignment horizontal="left" vertical="center"/>
    </xf>
    <xf numFmtId="0" fontId="107" fillId="0" borderId="17" xfId="131" applyFont="1" applyBorder="1">
      <alignment vertical="center"/>
    </xf>
    <xf numFmtId="0" fontId="49" fillId="0" borderId="50" xfId="131" applyFont="1" applyBorder="1" applyAlignment="1">
      <alignment horizontal="center" vertical="center"/>
    </xf>
    <xf numFmtId="0" fontId="49" fillId="0" borderId="50" xfId="131" applyFont="1" applyBorder="1" applyAlignment="1">
      <alignment horizontal="left" vertical="center"/>
    </xf>
    <xf numFmtId="0" fontId="49" fillId="0" borderId="21" xfId="131" applyFont="1" applyBorder="1" applyAlignment="1">
      <alignment horizontal="left" vertical="center"/>
    </xf>
    <xf numFmtId="0" fontId="56" fillId="0" borderId="127" xfId="131" applyFont="1" applyBorder="1" applyAlignment="1">
      <alignment horizontal="center" vertical="center"/>
    </xf>
    <xf numFmtId="0" fontId="56" fillId="0" borderId="14" xfId="131" applyFont="1" applyBorder="1" applyAlignment="1">
      <alignment horizontal="center" vertical="center"/>
    </xf>
    <xf numFmtId="0" fontId="49" fillId="0" borderId="49" xfId="131" applyFont="1" applyBorder="1" applyAlignment="1">
      <alignment horizontal="center" vertical="center"/>
    </xf>
    <xf numFmtId="0" fontId="49" fillId="0" borderId="119" xfId="131" applyFont="1" applyBorder="1" applyAlignment="1">
      <alignment horizontal="left" vertical="center"/>
    </xf>
    <xf numFmtId="0" fontId="49" fillId="0" borderId="120" xfId="131" applyFont="1" applyBorder="1" applyAlignment="1">
      <alignment horizontal="left" vertical="center"/>
    </xf>
    <xf numFmtId="0" fontId="49" fillId="0" borderId="121" xfId="131" applyFont="1" applyBorder="1" applyAlignment="1">
      <alignment horizontal="left" vertical="center"/>
    </xf>
    <xf numFmtId="0" fontId="47" fillId="0" borderId="122" xfId="131" applyFont="1" applyBorder="1">
      <alignment vertical="center"/>
    </xf>
    <xf numFmtId="0" fontId="107" fillId="0" borderId="123" xfId="131" applyFont="1" applyBorder="1">
      <alignment vertical="center"/>
    </xf>
    <xf numFmtId="0" fontId="49" fillId="0" borderId="123" xfId="131" applyFont="1" applyBorder="1" applyAlignment="1">
      <alignment horizontal="left" vertical="center"/>
    </xf>
    <xf numFmtId="0" fontId="49" fillId="0" borderId="125" xfId="131" applyFont="1" applyBorder="1" applyAlignment="1">
      <alignment horizontal="left" vertical="center"/>
    </xf>
    <xf numFmtId="0" fontId="56" fillId="0" borderId="12" xfId="131" applyFont="1" applyBorder="1" applyAlignment="1">
      <alignment horizontal="center" vertical="center"/>
    </xf>
    <xf numFmtId="0" fontId="56" fillId="0" borderId="50" xfId="131" applyFont="1" applyBorder="1" applyAlignment="1">
      <alignment horizontal="center" vertical="center"/>
    </xf>
    <xf numFmtId="0" fontId="49" fillId="0" borderId="127" xfId="131" applyFont="1" applyBorder="1">
      <alignment vertical="center"/>
    </xf>
    <xf numFmtId="0" fontId="56" fillId="0" borderId="22" xfId="131" applyFont="1" applyBorder="1" applyAlignment="1">
      <alignment horizontal="center" vertical="center"/>
    </xf>
    <xf numFmtId="0" fontId="49" fillId="0" borderId="0" xfId="131" applyFont="1" applyAlignment="1">
      <alignment horizontal="center" vertical="center"/>
    </xf>
    <xf numFmtId="0" fontId="47" fillId="0" borderId="0" xfId="131" applyFont="1">
      <alignment vertical="center"/>
    </xf>
    <xf numFmtId="0" fontId="107" fillId="0" borderId="127" xfId="131" applyFont="1" applyBorder="1">
      <alignment vertical="center"/>
    </xf>
    <xf numFmtId="0" fontId="49" fillId="0" borderId="0" xfId="131" applyFont="1" applyAlignment="1">
      <alignment horizontal="right" vertical="center"/>
    </xf>
    <xf numFmtId="0" fontId="53" fillId="0" borderId="0" xfId="122">
      <alignment vertical="center"/>
    </xf>
    <xf numFmtId="0" fontId="47" fillId="0" borderId="0" xfId="131" applyFont="1" applyAlignment="1">
      <alignment horizontal="center" vertical="center"/>
    </xf>
    <xf numFmtId="0" fontId="47" fillId="0" borderId="0" xfId="131" applyFont="1" applyAlignment="1">
      <alignment horizontal="left" vertical="center"/>
    </xf>
    <xf numFmtId="0" fontId="93" fillId="0" borderId="0" xfId="131" applyFont="1" applyAlignment="1">
      <alignment horizontal="right" vertical="center" indent="1"/>
    </xf>
    <xf numFmtId="0" fontId="93" fillId="0" borderId="0" xfId="131" applyFont="1" applyAlignment="1">
      <alignment horizontal="left" vertical="center"/>
    </xf>
    <xf numFmtId="0" fontId="56" fillId="0" borderId="145" xfId="131" applyFont="1" applyBorder="1" applyAlignment="1">
      <alignment horizontal="left" vertical="center"/>
    </xf>
    <xf numFmtId="0" fontId="56" fillId="0" borderId="146" xfId="131" applyFont="1" applyBorder="1" applyAlignment="1">
      <alignment horizontal="left" vertical="center"/>
    </xf>
    <xf numFmtId="0" fontId="56" fillId="0" borderId="147" xfId="131" applyFont="1" applyBorder="1" applyAlignment="1">
      <alignment horizontal="right" vertical="center"/>
    </xf>
    <xf numFmtId="0" fontId="56" fillId="0" borderId="148" xfId="131" applyFont="1" applyBorder="1" applyAlignment="1">
      <alignment horizontal="left" vertical="center"/>
    </xf>
    <xf numFmtId="0" fontId="56" fillId="0" borderId="149" xfId="131" applyFont="1" applyBorder="1" applyAlignment="1">
      <alignment horizontal="left" vertical="center"/>
    </xf>
    <xf numFmtId="0" fontId="56" fillId="0" borderId="150" xfId="131" applyFont="1" applyBorder="1" applyAlignment="1">
      <alignment horizontal="left" vertical="center"/>
    </xf>
    <xf numFmtId="0" fontId="100" fillId="0" borderId="13" xfId="131" applyFont="1" applyBorder="1">
      <alignment vertical="center"/>
    </xf>
    <xf numFmtId="0" fontId="100" fillId="0" borderId="0" xfId="131" applyFont="1" applyAlignment="1">
      <alignment horizontal="center" vertical="center"/>
    </xf>
    <xf numFmtId="0" fontId="100" fillId="0" borderId="0" xfId="131" applyFont="1" applyAlignment="1">
      <alignment horizontal="left" vertical="center"/>
    </xf>
    <xf numFmtId="0" fontId="56" fillId="0" borderId="151" xfId="131" applyFont="1" applyBorder="1" applyAlignment="1">
      <alignment horizontal="left" vertical="center"/>
    </xf>
    <xf numFmtId="0" fontId="100" fillId="0" borderId="152" xfId="131" applyFont="1" applyBorder="1" applyAlignment="1">
      <alignment horizontal="left" vertical="center"/>
    </xf>
    <xf numFmtId="0" fontId="100" fillId="0" borderId="152" xfId="131" applyFont="1" applyBorder="1">
      <alignment vertical="center"/>
    </xf>
    <xf numFmtId="0" fontId="56" fillId="0" borderId="152" xfId="131" applyFont="1" applyBorder="1" applyAlignment="1">
      <alignment horizontal="left" vertical="center"/>
    </xf>
    <xf numFmtId="0" fontId="56" fillId="0" borderId="152" xfId="131" applyFont="1" applyBorder="1" applyAlignment="1">
      <alignment horizontal="center" vertical="center"/>
    </xf>
    <xf numFmtId="0" fontId="56" fillId="0" borderId="153" xfId="131" applyFont="1" applyBorder="1" applyAlignment="1">
      <alignment horizontal="left" vertical="center"/>
    </xf>
    <xf numFmtId="0" fontId="47" fillId="0" borderId="0" xfId="131" applyFont="1" applyAlignment="1">
      <alignment horizontal="right" vertical="center"/>
    </xf>
    <xf numFmtId="0" fontId="56" fillId="0" borderId="0" xfId="131" applyFont="1" applyAlignment="1">
      <alignment horizontal="left" vertical="center" wrapText="1"/>
    </xf>
    <xf numFmtId="0" fontId="111" fillId="0" borderId="10" xfId="131" applyFont="1" applyBorder="1">
      <alignment vertical="center"/>
    </xf>
    <xf numFmtId="0" fontId="86" fillId="0" borderId="127" xfId="131" applyFont="1" applyBorder="1" applyAlignment="1">
      <alignment horizontal="center" vertical="center"/>
    </xf>
    <xf numFmtId="0" fontId="56" fillId="0" borderId="127" xfId="131" applyFont="1" applyBorder="1" applyAlignment="1">
      <alignment horizontal="left" vertical="center"/>
    </xf>
    <xf numFmtId="0" fontId="111" fillId="0" borderId="127" xfId="131" applyFont="1" applyBorder="1" applyAlignment="1">
      <alignment horizontal="left" vertical="center"/>
    </xf>
    <xf numFmtId="0" fontId="59" fillId="0" borderId="127" xfId="131" applyFont="1" applyBorder="1" applyAlignment="1">
      <alignment horizontal="center" vertical="center"/>
    </xf>
    <xf numFmtId="0" fontId="49" fillId="0" borderId="32" xfId="131" applyFont="1" applyBorder="1" applyAlignment="1">
      <alignment horizontal="left" vertical="center"/>
    </xf>
    <xf numFmtId="0" fontId="59" fillId="0" borderId="0" xfId="131" applyFont="1" applyAlignment="1">
      <alignment horizontal="center" vertical="center"/>
    </xf>
    <xf numFmtId="0" fontId="112" fillId="0" borderId="49" xfId="131" applyFont="1" applyBorder="1">
      <alignment vertical="center"/>
    </xf>
    <xf numFmtId="0" fontId="113" fillId="0" borderId="49" xfId="131" applyFont="1" applyBorder="1" applyAlignment="1">
      <alignment horizontal="left" vertical="center"/>
    </xf>
    <xf numFmtId="0" fontId="113" fillId="0" borderId="32" xfId="131" applyFont="1" applyBorder="1" applyAlignment="1">
      <alignment horizontal="left" vertical="center"/>
    </xf>
    <xf numFmtId="0" fontId="49" fillId="0" borderId="51" xfId="131" applyFont="1" applyBorder="1" applyAlignment="1">
      <alignment vertical="center" wrapText="1"/>
    </xf>
    <xf numFmtId="0" fontId="111" fillId="0" borderId="51" xfId="131" applyFont="1" applyBorder="1" applyAlignment="1">
      <alignment horizontal="left" vertical="center"/>
    </xf>
    <xf numFmtId="0" fontId="107" fillId="0" borderId="154" xfId="131" applyFont="1" applyBorder="1">
      <alignment vertical="center"/>
    </xf>
    <xf numFmtId="0" fontId="45" fillId="0" borderId="0" xfId="122" applyFont="1">
      <alignment vertical="center"/>
    </xf>
    <xf numFmtId="0" fontId="54" fillId="0" borderId="154" xfId="122" applyFont="1" applyBorder="1">
      <alignment vertical="center"/>
    </xf>
    <xf numFmtId="0" fontId="51" fillId="0" borderId="0" xfId="131" applyFont="1" applyAlignment="1">
      <alignment horizontal="left" vertical="center"/>
    </xf>
    <xf numFmtId="0" fontId="86" fillId="0" borderId="51" xfId="131" applyFont="1" applyBorder="1">
      <alignment vertical="center"/>
    </xf>
    <xf numFmtId="0" fontId="51" fillId="0" borderId="127" xfId="131" applyFont="1" applyBorder="1" applyAlignment="1">
      <alignment horizontal="center" vertical="center"/>
    </xf>
    <xf numFmtId="0" fontId="51" fillId="0" borderId="51" xfId="131" applyFont="1" applyBorder="1">
      <alignment vertical="center"/>
    </xf>
    <xf numFmtId="0" fontId="49" fillId="0" borderId="51" xfId="131" applyFont="1" applyBorder="1">
      <alignment vertical="center"/>
    </xf>
    <xf numFmtId="0" fontId="49" fillId="0" borderId="0" xfId="131" applyFont="1">
      <alignment vertical="center"/>
    </xf>
    <xf numFmtId="0" fontId="51" fillId="44" borderId="127" xfId="131" applyFont="1" applyFill="1" applyBorder="1" applyAlignment="1">
      <alignment horizontal="center" vertical="center"/>
    </xf>
    <xf numFmtId="0" fontId="56" fillId="0" borderId="49" xfId="131" applyFont="1" applyBorder="1" applyAlignment="1">
      <alignment horizontal="right" vertical="center"/>
    </xf>
    <xf numFmtId="0" fontId="117" fillId="0" borderId="0" xfId="131" applyFont="1">
      <alignment vertical="center"/>
    </xf>
    <xf numFmtId="0" fontId="51" fillId="0" borderId="127" xfId="131" applyFont="1" applyBorder="1">
      <alignment vertical="center"/>
    </xf>
    <xf numFmtId="0" fontId="51" fillId="0" borderId="127" xfId="131" applyFont="1" applyBorder="1" applyAlignment="1">
      <alignment horizontal="left" vertical="center"/>
    </xf>
    <xf numFmtId="0" fontId="51" fillId="0" borderId="127" xfId="131" applyFont="1" applyBorder="1" applyAlignment="1">
      <alignment horizontal="right" vertical="center" wrapText="1"/>
    </xf>
    <xf numFmtId="0" fontId="56" fillId="43" borderId="0" xfId="131" applyFont="1" applyFill="1" applyAlignment="1" applyProtection="1">
      <alignment horizontal="left" vertical="center"/>
      <protection locked="0"/>
    </xf>
    <xf numFmtId="0" fontId="51" fillId="0" borderId="0" xfId="131" applyFont="1">
      <alignment vertical="center"/>
    </xf>
    <xf numFmtId="0" fontId="112" fillId="0" borderId="0" xfId="131" applyFont="1" applyAlignment="1">
      <alignment horizontal="center" vertical="center"/>
    </xf>
    <xf numFmtId="0" fontId="113" fillId="0" borderId="0" xfId="131" applyFont="1" applyAlignment="1">
      <alignment horizontal="center" vertical="center"/>
    </xf>
    <xf numFmtId="0" fontId="84" fillId="44" borderId="127" xfId="131" applyFont="1" applyFill="1" applyBorder="1" applyAlignment="1" applyProtection="1">
      <alignment horizontal="right" vertical="center"/>
      <protection locked="0"/>
    </xf>
    <xf numFmtId="0" fontId="112" fillId="0" borderId="0" xfId="131" applyFont="1" applyAlignment="1">
      <alignment horizontal="right" vertical="center"/>
    </xf>
    <xf numFmtId="0" fontId="84" fillId="44" borderId="0" xfId="131" applyFont="1" applyFill="1" applyAlignment="1" applyProtection="1">
      <alignment horizontal="right" vertical="center"/>
      <protection locked="0"/>
    </xf>
    <xf numFmtId="0" fontId="56" fillId="0" borderId="0" xfId="131" applyFont="1" applyAlignment="1">
      <alignment horizontal="right" vertical="center"/>
    </xf>
    <xf numFmtId="0" fontId="100" fillId="0" borderId="155" xfId="131" applyFont="1" applyBorder="1" applyAlignment="1">
      <alignment horizontal="left" vertical="center"/>
    </xf>
    <xf numFmtId="0" fontId="100" fillId="0" borderId="156" xfId="131" applyFont="1" applyBorder="1" applyAlignment="1">
      <alignment horizontal="left" vertical="center"/>
    </xf>
    <xf numFmtId="0" fontId="100" fillId="0" borderId="156" xfId="131" applyFont="1" applyBorder="1">
      <alignment vertical="center"/>
    </xf>
    <xf numFmtId="0" fontId="100" fillId="0" borderId="157" xfId="131" applyFont="1" applyBorder="1" applyAlignment="1">
      <alignment horizontal="right" vertical="center"/>
    </xf>
    <xf numFmtId="0" fontId="100" fillId="0" borderId="158" xfId="131" applyFont="1" applyBorder="1" applyAlignment="1">
      <alignment horizontal="left" vertical="center"/>
    </xf>
    <xf numFmtId="0" fontId="100" fillId="0" borderId="159" xfId="131" applyFont="1" applyBorder="1" applyAlignment="1">
      <alignment horizontal="right" vertical="center"/>
    </xf>
    <xf numFmtId="0" fontId="100" fillId="0" borderId="51" xfId="131" applyFont="1" applyBorder="1" applyAlignment="1">
      <alignment horizontal="left" vertical="center"/>
    </xf>
    <xf numFmtId="0" fontId="100" fillId="0" borderId="159" xfId="131" applyFont="1" applyBorder="1" applyAlignment="1">
      <alignment horizontal="center" vertical="center"/>
    </xf>
    <xf numFmtId="0" fontId="100" fillId="0" borderId="0" xfId="131" applyFont="1" applyAlignment="1">
      <alignment horizontal="right" vertical="center"/>
    </xf>
    <xf numFmtId="0" fontId="100" fillId="0" borderId="51" xfId="131" applyFont="1" applyBorder="1" applyAlignment="1">
      <alignment horizontal="right" vertical="center"/>
    </xf>
    <xf numFmtId="0" fontId="100" fillId="0" borderId="158" xfId="131" applyFont="1" applyBorder="1" applyAlignment="1">
      <alignment horizontal="right" vertical="center"/>
    </xf>
    <xf numFmtId="0" fontId="100" fillId="0" borderId="160" xfId="131" applyFont="1" applyBorder="1" applyAlignment="1">
      <alignment horizontal="left" vertical="center"/>
    </xf>
    <xf numFmtId="0" fontId="100" fillId="0" borderId="154" xfId="131" applyFont="1" applyBorder="1" applyAlignment="1">
      <alignment horizontal="right" vertical="center"/>
    </xf>
    <xf numFmtId="0" fontId="100" fillId="0" borderId="161" xfId="131" applyFont="1" applyBorder="1" applyAlignment="1">
      <alignment horizontal="right" vertical="center"/>
    </xf>
    <xf numFmtId="0" fontId="55" fillId="0" borderId="0" xfId="131" applyFont="1">
      <alignment vertical="center"/>
    </xf>
    <xf numFmtId="0" fontId="55" fillId="0" borderId="0" xfId="131" applyFont="1" applyAlignment="1">
      <alignment horizontal="left" vertical="center"/>
    </xf>
    <xf numFmtId="0" fontId="55" fillId="0" borderId="0" xfId="131" applyFont="1" applyAlignment="1">
      <alignment horizontal="center" vertical="center"/>
    </xf>
    <xf numFmtId="0" fontId="55" fillId="0" borderId="0" xfId="131" applyFont="1" applyAlignment="1">
      <alignment horizontal="right" vertical="center"/>
    </xf>
    <xf numFmtId="0" fontId="53" fillId="32" borderId="13" xfId="122" applyFill="1" applyBorder="1" applyAlignment="1">
      <alignment horizontal="center" vertical="center"/>
    </xf>
    <xf numFmtId="0" fontId="55" fillId="0" borderId="50" xfId="131" applyFont="1" applyBorder="1" applyAlignment="1">
      <alignment horizontal="left" vertical="center"/>
    </xf>
    <xf numFmtId="0" fontId="55" fillId="0" borderId="51" xfId="131" applyFont="1" applyBorder="1" applyAlignment="1">
      <alignment horizontal="right" vertical="center"/>
    </xf>
    <xf numFmtId="0" fontId="55" fillId="0" borderId="51" xfId="131" applyFont="1" applyBorder="1">
      <alignment vertical="center"/>
    </xf>
    <xf numFmtId="0" fontId="55" fillId="0" borderId="13" xfId="131" applyFont="1" applyBorder="1" applyAlignment="1">
      <alignment horizontal="left" vertical="center"/>
    </xf>
    <xf numFmtId="0" fontId="55" fillId="0" borderId="49" xfId="131" applyFont="1" applyBorder="1">
      <alignment vertical="center"/>
    </xf>
    <xf numFmtId="0" fontId="55" fillId="0" borderId="0" xfId="120" applyFont="1" applyAlignment="1">
      <alignment horizontal="left" vertical="center" wrapText="1"/>
    </xf>
    <xf numFmtId="49" fontId="55" fillId="32" borderId="0" xfId="132" applyNumberFormat="1" applyFont="1" applyFill="1" applyAlignment="1" applyProtection="1">
      <alignment horizontal="center" vertical="center" shrinkToFit="1"/>
      <protection locked="0"/>
    </xf>
    <xf numFmtId="0" fontId="55" fillId="0" borderId="127" xfId="131" applyFont="1" applyBorder="1">
      <alignment vertical="center"/>
    </xf>
    <xf numFmtId="0" fontId="55" fillId="0" borderId="51" xfId="131" applyFont="1" applyBorder="1" applyAlignment="1">
      <alignment horizontal="left" vertical="center" wrapText="1"/>
    </xf>
    <xf numFmtId="0" fontId="55" fillId="0" borderId="51" xfId="131" applyFont="1" applyBorder="1" applyAlignment="1">
      <alignment horizontal="center" vertical="center"/>
    </xf>
    <xf numFmtId="0" fontId="55" fillId="43" borderId="0" xfId="131" applyFont="1" applyFill="1">
      <alignment vertical="center"/>
    </xf>
    <xf numFmtId="0" fontId="55" fillId="43" borderId="0" xfId="131" applyFont="1" applyFill="1" applyAlignment="1">
      <alignment horizontal="center" vertical="center"/>
    </xf>
    <xf numFmtId="0" fontId="55" fillId="43" borderId="0" xfId="131" applyFont="1" applyFill="1" applyAlignment="1">
      <alignment horizontal="left" vertical="center"/>
    </xf>
    <xf numFmtId="0" fontId="55" fillId="0" borderId="10" xfId="131" applyFont="1" applyBorder="1" applyAlignment="1">
      <alignment horizontal="left" vertical="center"/>
    </xf>
    <xf numFmtId="0" fontId="55" fillId="0" borderId="127" xfId="131" applyFont="1" applyBorder="1" applyAlignment="1">
      <alignment horizontal="left" vertical="center"/>
    </xf>
    <xf numFmtId="0" fontId="55" fillId="0" borderId="14" xfId="131" applyFont="1" applyBorder="1" applyAlignment="1">
      <alignment horizontal="left" vertical="center"/>
    </xf>
    <xf numFmtId="0" fontId="55" fillId="0" borderId="11" xfId="131" applyFont="1" applyBorder="1" applyAlignment="1">
      <alignment horizontal="left" vertical="center"/>
    </xf>
    <xf numFmtId="0" fontId="55" fillId="0" borderId="15" xfId="131" applyFont="1" applyBorder="1" applyAlignment="1">
      <alignment horizontal="left" vertical="center"/>
    </xf>
    <xf numFmtId="0" fontId="55" fillId="0" borderId="12" xfId="131" applyFont="1" applyBorder="1" applyAlignment="1">
      <alignment horizontal="left" vertical="center"/>
    </xf>
    <xf numFmtId="0" fontId="55" fillId="0" borderId="51" xfId="131" applyFont="1" applyBorder="1" applyAlignment="1">
      <alignment horizontal="left" vertical="center"/>
    </xf>
    <xf numFmtId="0" fontId="55" fillId="0" borderId="22" xfId="131" applyFont="1" applyBorder="1" applyAlignment="1">
      <alignment horizontal="left" vertical="center"/>
    </xf>
    <xf numFmtId="0" fontId="103" fillId="0" borderId="127" xfId="120" applyFont="1" applyBorder="1" applyAlignment="1">
      <alignment horizontal="left" vertical="center"/>
    </xf>
    <xf numFmtId="0" fontId="55" fillId="0" borderId="0" xfId="120" applyFont="1" applyAlignment="1" applyProtection="1">
      <alignment horizontal="left" vertical="center"/>
      <protection locked="0"/>
    </xf>
    <xf numFmtId="0" fontId="55" fillId="0" borderId="0" xfId="120" applyFont="1" applyAlignment="1" applyProtection="1">
      <alignment horizontal="left"/>
      <protection locked="0"/>
    </xf>
    <xf numFmtId="0" fontId="102" fillId="0" borderId="0" xfId="120" applyFont="1" applyAlignment="1">
      <alignment vertical="top" wrapText="1"/>
    </xf>
    <xf numFmtId="0" fontId="103" fillId="0" borderId="0" xfId="120" applyFont="1" applyAlignment="1">
      <alignment horizontal="left" vertical="center"/>
    </xf>
    <xf numFmtId="0" fontId="55" fillId="0" borderId="127" xfId="120" applyFont="1" applyBorder="1"/>
    <xf numFmtId="0" fontId="55" fillId="0" borderId="51" xfId="120" applyFont="1" applyBorder="1"/>
    <xf numFmtId="0" fontId="55" fillId="45" borderId="0" xfId="131" applyFont="1" applyFill="1" applyAlignment="1" applyProtection="1">
      <alignment horizontal="center" vertical="center"/>
      <protection locked="0"/>
    </xf>
    <xf numFmtId="0" fontId="55" fillId="45" borderId="0" xfId="131" applyFont="1" applyFill="1" applyProtection="1">
      <alignment vertical="center"/>
      <protection locked="0"/>
    </xf>
    <xf numFmtId="0" fontId="55" fillId="0" borderId="49" xfId="131" applyFont="1" applyBorder="1" applyAlignment="1" applyProtection="1">
      <alignment horizontal="left" vertical="center"/>
      <protection locked="0"/>
    </xf>
    <xf numFmtId="0" fontId="55" fillId="0" borderId="49" xfId="131" applyFont="1" applyBorder="1" applyAlignment="1" applyProtection="1">
      <alignment horizontal="center" vertical="center"/>
      <protection locked="0"/>
    </xf>
    <xf numFmtId="0" fontId="55" fillId="0" borderId="49" xfId="131" applyFont="1" applyBorder="1" applyProtection="1">
      <alignment vertical="center"/>
      <protection locked="0"/>
    </xf>
    <xf numFmtId="0" fontId="100" fillId="0" borderId="49" xfId="131" applyFont="1" applyBorder="1">
      <alignment vertical="center"/>
    </xf>
    <xf numFmtId="0" fontId="55" fillId="0" borderId="0" xfId="131" applyFont="1" applyProtection="1">
      <alignment vertical="center"/>
      <protection locked="0"/>
    </xf>
    <xf numFmtId="0" fontId="121" fillId="0" borderId="0" xfId="131" applyFont="1">
      <alignment vertical="center"/>
    </xf>
    <xf numFmtId="0" fontId="121" fillId="43" borderId="10" xfId="131" applyFont="1" applyFill="1" applyBorder="1" applyProtection="1">
      <alignment vertical="center"/>
      <protection locked="0"/>
    </xf>
    <xf numFmtId="0" fontId="121" fillId="0" borderId="127" xfId="131" applyFont="1" applyBorder="1" applyProtection="1">
      <alignment vertical="center"/>
      <protection locked="0"/>
    </xf>
    <xf numFmtId="0" fontId="121" fillId="43" borderId="127" xfId="131" applyFont="1" applyFill="1" applyBorder="1" applyProtection="1">
      <alignment vertical="center"/>
      <protection locked="0"/>
    </xf>
    <xf numFmtId="0" fontId="121" fillId="0" borderId="14" xfId="131" applyFont="1" applyBorder="1" applyAlignment="1" applyProtection="1">
      <alignment horizontal="left" vertical="center"/>
      <protection locked="0"/>
    </xf>
    <xf numFmtId="0" fontId="121" fillId="0" borderId="11" xfId="131" applyFont="1" applyBorder="1" applyProtection="1">
      <alignment vertical="center"/>
      <protection locked="0"/>
    </xf>
    <xf numFmtId="0" fontId="121" fillId="0" borderId="0" xfId="131" applyFont="1" applyProtection="1">
      <alignment vertical="center"/>
      <protection locked="0"/>
    </xf>
    <xf numFmtId="0" fontId="121" fillId="0" borderId="15" xfId="131" applyFont="1" applyBorder="1" applyProtection="1">
      <alignment vertical="center"/>
      <protection locked="0"/>
    </xf>
    <xf numFmtId="0" fontId="121" fillId="0" borderId="12" xfId="131" applyFont="1" applyBorder="1" applyProtection="1">
      <alignment vertical="center"/>
      <protection locked="0"/>
    </xf>
    <xf numFmtId="0" fontId="121" fillId="0" borderId="51" xfId="131" applyFont="1" applyBorder="1" applyProtection="1">
      <alignment vertical="center"/>
      <protection locked="0"/>
    </xf>
    <xf numFmtId="0" fontId="121" fillId="0" borderId="22" xfId="131" applyFont="1" applyBorder="1" applyProtection="1">
      <alignment vertical="center"/>
      <protection locked="0"/>
    </xf>
    <xf numFmtId="0" fontId="121" fillId="0" borderId="14" xfId="131" applyFont="1" applyBorder="1" applyProtection="1">
      <alignment vertical="center"/>
      <protection locked="0"/>
    </xf>
    <xf numFmtId="0" fontId="100" fillId="0" borderId="0" xfId="131" applyFont="1">
      <alignment vertical="center"/>
    </xf>
    <xf numFmtId="0" fontId="91" fillId="0" borderId="0" xfId="131" applyFont="1" applyAlignment="1">
      <alignment horizontal="center" vertical="center"/>
    </xf>
    <xf numFmtId="0" fontId="100" fillId="44" borderId="0" xfId="131" applyFont="1" applyFill="1" applyAlignment="1">
      <alignment horizontal="center" vertical="center"/>
    </xf>
    <xf numFmtId="0" fontId="100" fillId="0" borderId="21" xfId="131" applyFont="1" applyBorder="1">
      <alignment vertical="center"/>
    </xf>
    <xf numFmtId="0" fontId="100" fillId="0" borderId="49" xfId="131" applyFont="1" applyBorder="1" applyAlignment="1">
      <alignment horizontal="left" vertical="center"/>
    </xf>
    <xf numFmtId="0" fontId="100" fillId="0" borderId="49" xfId="131" applyFont="1" applyBorder="1" applyAlignment="1">
      <alignment horizontal="center" vertical="center"/>
    </xf>
    <xf numFmtId="0" fontId="100" fillId="0" borderId="32" xfId="131" applyFont="1" applyBorder="1" applyAlignment="1">
      <alignment horizontal="center" vertical="center"/>
    </xf>
    <xf numFmtId="0" fontId="100" fillId="0" borderId="32" xfId="131" applyFont="1" applyBorder="1">
      <alignment vertical="center"/>
    </xf>
    <xf numFmtId="0" fontId="100" fillId="0" borderId="127" xfId="131" applyFont="1" applyBorder="1">
      <alignment vertical="center"/>
    </xf>
    <xf numFmtId="0" fontId="100" fillId="0" borderId="12" xfId="131" applyFont="1" applyBorder="1" applyAlignment="1">
      <alignment horizontal="left" vertical="center"/>
    </xf>
    <xf numFmtId="0" fontId="100" fillId="0" borderId="22" xfId="131" applyFont="1" applyBorder="1" applyAlignment="1">
      <alignment horizontal="left" vertical="center"/>
    </xf>
    <xf numFmtId="0" fontId="100" fillId="0" borderId="22" xfId="131" applyFont="1" applyBorder="1">
      <alignment vertical="center"/>
    </xf>
    <xf numFmtId="0" fontId="100" fillId="0" borderId="0" xfId="131" applyFont="1" applyAlignment="1">
      <alignment horizontal="left" vertical="center" shrinkToFit="1"/>
    </xf>
    <xf numFmtId="0" fontId="100" fillId="0" borderId="0" xfId="123" applyFont="1">
      <alignment vertical="center"/>
    </xf>
    <xf numFmtId="0" fontId="122" fillId="0" borderId="0" xfId="123" applyFont="1">
      <alignment vertical="center"/>
    </xf>
    <xf numFmtId="0" fontId="55" fillId="0" borderId="0" xfId="123" applyFont="1" applyAlignment="1">
      <alignment horizontal="left" vertical="center"/>
    </xf>
    <xf numFmtId="0" fontId="55" fillId="0" borderId="0" xfId="123" applyFont="1" applyAlignment="1">
      <alignment horizontal="center" vertical="center"/>
    </xf>
    <xf numFmtId="0" fontId="54" fillId="32" borderId="13" xfId="122" applyFont="1" applyFill="1" applyBorder="1" applyAlignment="1">
      <alignment horizontal="center" vertical="center"/>
    </xf>
    <xf numFmtId="0" fontId="55" fillId="0" borderId="50" xfId="123" applyFont="1" applyBorder="1" applyAlignment="1">
      <alignment horizontal="left" vertical="center"/>
    </xf>
    <xf numFmtId="0" fontId="100" fillId="0" borderId="51" xfId="123" applyFont="1" applyBorder="1">
      <alignment vertical="center"/>
    </xf>
    <xf numFmtId="0" fontId="55" fillId="0" borderId="13" xfId="123" applyFont="1" applyBorder="1" applyAlignment="1">
      <alignment horizontal="left" vertical="center"/>
    </xf>
    <xf numFmtId="0" fontId="100" fillId="0" borderId="49" xfId="123" applyFont="1" applyBorder="1">
      <alignment vertical="center"/>
    </xf>
    <xf numFmtId="0" fontId="91" fillId="0" borderId="0" xfId="123" applyFont="1" applyAlignment="1">
      <alignment horizontal="center" vertical="center"/>
    </xf>
    <xf numFmtId="0" fontId="100" fillId="0" borderId="0" xfId="123" applyFont="1" applyAlignment="1">
      <alignment horizontal="center" vertical="center"/>
    </xf>
    <xf numFmtId="0" fontId="100" fillId="0" borderId="0" xfId="123" applyFont="1" applyAlignment="1">
      <alignment horizontal="right" vertical="center"/>
    </xf>
    <xf numFmtId="0" fontId="100" fillId="0" borderId="0" xfId="123" applyFont="1" applyAlignment="1" applyProtection="1">
      <alignment horizontal="center" vertical="center"/>
      <protection locked="0"/>
    </xf>
    <xf numFmtId="0" fontId="100" fillId="0" borderId="0" xfId="123" applyFont="1" applyProtection="1">
      <alignment vertical="center"/>
      <protection locked="0"/>
    </xf>
    <xf numFmtId="0" fontId="100" fillId="0" borderId="0" xfId="123" applyFont="1" applyAlignment="1">
      <alignment horizontal="left" vertical="center"/>
    </xf>
    <xf numFmtId="0" fontId="101" fillId="0" borderId="0" xfId="123" applyFont="1">
      <alignment vertical="center"/>
    </xf>
    <xf numFmtId="0" fontId="45" fillId="0" borderId="0" xfId="123">
      <alignment vertical="center"/>
    </xf>
    <xf numFmtId="0" fontId="100" fillId="0" borderId="0" xfId="123" applyFont="1" applyAlignment="1">
      <alignment horizontal="left" vertical="center" wrapText="1"/>
    </xf>
    <xf numFmtId="0" fontId="100" fillId="0" borderId="127" xfId="123" applyFont="1" applyBorder="1">
      <alignment vertical="center"/>
    </xf>
    <xf numFmtId="0" fontId="101" fillId="0" borderId="127" xfId="123" applyFont="1" applyBorder="1">
      <alignment vertical="center"/>
    </xf>
    <xf numFmtId="0" fontId="101" fillId="43" borderId="0" xfId="123" applyFont="1" applyFill="1">
      <alignment vertical="center"/>
    </xf>
    <xf numFmtId="0" fontId="121" fillId="0" borderId="0" xfId="120" applyFont="1"/>
    <xf numFmtId="0" fontId="121" fillId="0" borderId="0" xfId="120" applyFont="1" applyAlignment="1">
      <alignment horizontal="left"/>
    </xf>
    <xf numFmtId="0" fontId="123" fillId="0" borderId="0" xfId="120" applyFont="1" applyAlignment="1" applyProtection="1">
      <alignment horizontal="left" vertical="center"/>
      <protection locked="0"/>
    </xf>
    <xf numFmtId="0" fontId="123" fillId="0" borderId="0" xfId="120" applyFont="1" applyAlignment="1" applyProtection="1">
      <alignment horizontal="left"/>
      <protection locked="0"/>
    </xf>
    <xf numFmtId="0" fontId="121" fillId="0" borderId="0" xfId="120" applyFont="1" applyAlignment="1">
      <alignment horizontal="left" vertical="center"/>
    </xf>
    <xf numFmtId="0" fontId="121" fillId="0" borderId="0" xfId="123" applyFont="1" applyAlignment="1">
      <alignment horizontal="left" vertical="center"/>
    </xf>
    <xf numFmtId="0" fontId="121" fillId="0" borderId="0" xfId="120" applyFont="1" applyAlignment="1">
      <alignment vertical="center"/>
    </xf>
    <xf numFmtId="0" fontId="55" fillId="0" borderId="0" xfId="120" applyFont="1" applyAlignment="1" applyProtection="1">
      <alignment vertical="center"/>
      <protection locked="0"/>
    </xf>
    <xf numFmtId="0" fontId="100" fillId="0" borderId="0" xfId="123" applyFont="1" applyAlignment="1">
      <alignment horizontal="left" vertical="top" wrapText="1"/>
    </xf>
    <xf numFmtId="0" fontId="101" fillId="0" borderId="0" xfId="123" applyFont="1" applyAlignment="1">
      <alignment horizontal="left" vertical="center"/>
    </xf>
    <xf numFmtId="0" fontId="14" fillId="0" borderId="0" xfId="133" applyFont="1">
      <alignment vertical="center"/>
    </xf>
    <xf numFmtId="0" fontId="15" fillId="0" borderId="0" xfId="133" applyFont="1" applyAlignment="1">
      <alignment horizontal="left" vertical="center"/>
    </xf>
    <xf numFmtId="0" fontId="15" fillId="0" borderId="0" xfId="133" applyFont="1" applyAlignment="1">
      <alignment horizontal="center" vertical="center"/>
    </xf>
    <xf numFmtId="0" fontId="126" fillId="32" borderId="13" xfId="134" applyNumberFormat="1" applyFont="1" applyFill="1" applyBorder="1" applyAlignment="1" applyProtection="1">
      <alignment horizontal="center" vertical="center"/>
    </xf>
    <xf numFmtId="0" fontId="15" fillId="0" borderId="50" xfId="133" applyFont="1" applyBorder="1" applyAlignment="1">
      <alignment horizontal="left" vertical="center"/>
    </xf>
    <xf numFmtId="0" fontId="14" fillId="0" borderId="51" xfId="133" applyFont="1" applyBorder="1">
      <alignment vertical="center"/>
    </xf>
    <xf numFmtId="0" fontId="15" fillId="0" borderId="13" xfId="133" applyFont="1" applyBorder="1" applyAlignment="1">
      <alignment horizontal="left" vertical="center"/>
    </xf>
    <xf numFmtId="0" fontId="14" fillId="0" borderId="49" xfId="133" applyFont="1" applyBorder="1">
      <alignment vertical="center"/>
    </xf>
    <xf numFmtId="0" fontId="106" fillId="0" borderId="0" xfId="133" applyFont="1" applyAlignment="1">
      <alignment horizontal="center" vertical="center"/>
    </xf>
    <xf numFmtId="49" fontId="15" fillId="32" borderId="0" xfId="135" applyNumberFormat="1" applyFont="1" applyFill="1" applyAlignment="1" applyProtection="1">
      <alignment horizontal="center" vertical="center" shrinkToFit="1"/>
      <protection locked="0"/>
    </xf>
    <xf numFmtId="0" fontId="14" fillId="0" borderId="0" xfId="133" applyFont="1" applyAlignment="1">
      <alignment horizontal="center" vertical="center"/>
    </xf>
    <xf numFmtId="0" fontId="14" fillId="0" borderId="0" xfId="133" applyFont="1" applyAlignment="1">
      <alignment horizontal="right" vertical="center"/>
    </xf>
    <xf numFmtId="0" fontId="14" fillId="0" borderId="31" xfId="133" applyFont="1" applyBorder="1">
      <alignment vertical="center"/>
    </xf>
    <xf numFmtId="0" fontId="9" fillId="32" borderId="31" xfId="135" applyFont="1" applyFill="1" applyBorder="1" applyAlignment="1" applyProtection="1">
      <alignment horizontal="center" vertical="center" shrinkToFit="1"/>
      <protection locked="0"/>
    </xf>
    <xf numFmtId="0" fontId="14" fillId="0" borderId="31" xfId="133" applyFont="1" applyBorder="1" applyAlignment="1">
      <alignment horizontal="center" vertical="center"/>
    </xf>
    <xf numFmtId="0" fontId="14" fillId="0" borderId="31" xfId="133" applyFont="1" applyBorder="1" applyAlignment="1">
      <alignment horizontal="left" vertical="center"/>
    </xf>
    <xf numFmtId="0" fontId="14" fillId="0" borderId="0" xfId="133" applyFont="1" applyAlignment="1">
      <alignment horizontal="left" vertical="center"/>
    </xf>
    <xf numFmtId="49" fontId="14" fillId="46" borderId="0" xfId="133" applyNumberFormat="1" applyFont="1" applyFill="1" applyAlignment="1" applyProtection="1">
      <alignment horizontal="center" vertical="center"/>
      <protection locked="0"/>
    </xf>
    <xf numFmtId="0" fontId="138" fillId="0" borderId="0" xfId="133">
      <alignment vertical="center"/>
    </xf>
    <xf numFmtId="0" fontId="101" fillId="43" borderId="31" xfId="123" applyFont="1" applyFill="1" applyBorder="1">
      <alignment vertical="center"/>
    </xf>
    <xf numFmtId="0" fontId="100" fillId="0" borderId="31" xfId="123" applyFont="1" applyBorder="1">
      <alignment vertical="center"/>
    </xf>
    <xf numFmtId="0" fontId="100" fillId="0" borderId="31" xfId="123" applyFont="1" applyBorder="1" applyAlignment="1">
      <alignment horizontal="left" vertical="center"/>
    </xf>
    <xf numFmtId="0" fontId="100" fillId="0" borderId="31" xfId="123" applyFont="1" applyBorder="1" applyAlignment="1">
      <alignment horizontal="center" vertical="center"/>
    </xf>
    <xf numFmtId="0" fontId="55" fillId="0" borderId="0" xfId="123" applyFont="1">
      <alignment vertical="center"/>
    </xf>
    <xf numFmtId="49" fontId="100" fillId="0" borderId="0" xfId="123" applyNumberFormat="1" applyFont="1" applyAlignment="1">
      <alignment horizontal="right" vertical="center"/>
    </xf>
    <xf numFmtId="0" fontId="55" fillId="32" borderId="0" xfId="132" applyFont="1" applyFill="1" applyAlignment="1" applyProtection="1">
      <alignment horizontal="center" vertical="center" shrinkToFit="1"/>
      <protection locked="0"/>
    </xf>
    <xf numFmtId="188" fontId="0" fillId="0" borderId="0" xfId="0" applyNumberFormat="1">
      <alignment vertical="center"/>
    </xf>
    <xf numFmtId="176" fontId="6" fillId="0" borderId="0" xfId="0" applyNumberFormat="1" applyFont="1">
      <alignment vertical="center"/>
    </xf>
    <xf numFmtId="0" fontId="6" fillId="0" borderId="36" xfId="0" applyFont="1" applyBorder="1">
      <alignment vertical="center"/>
    </xf>
    <xf numFmtId="176" fontId="6" fillId="0" borderId="36" xfId="0" applyNumberFormat="1" applyFont="1" applyBorder="1">
      <alignment vertical="center"/>
    </xf>
    <xf numFmtId="184" fontId="6" fillId="24" borderId="36" xfId="0" applyNumberFormat="1" applyFont="1" applyFill="1" applyBorder="1">
      <alignment vertical="center"/>
    </xf>
    <xf numFmtId="0" fontId="6" fillId="0" borderId="36" xfId="0" applyFont="1" applyBorder="1" applyAlignment="1">
      <alignment vertical="center" shrinkToFit="1"/>
    </xf>
    <xf numFmtId="0" fontId="6" fillId="0" borderId="162" xfId="0" applyFont="1" applyBorder="1">
      <alignment vertical="center"/>
    </xf>
    <xf numFmtId="0" fontId="6" fillId="0" borderId="52" xfId="0" applyFont="1" applyBorder="1">
      <alignment vertical="center"/>
    </xf>
    <xf numFmtId="176" fontId="6" fillId="0" borderId="163" xfId="0" applyNumberFormat="1" applyFont="1" applyBorder="1">
      <alignment vertical="center"/>
    </xf>
    <xf numFmtId="0" fontId="6" fillId="0" borderId="163" xfId="0" applyFont="1" applyBorder="1">
      <alignment vertical="center"/>
    </xf>
    <xf numFmtId="0" fontId="6" fillId="0" borderId="42" xfId="0" applyFont="1" applyBorder="1" applyAlignment="1">
      <alignment horizontal="center" vertical="center"/>
    </xf>
    <xf numFmtId="176" fontId="6"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3" borderId="36" xfId="0" applyFill="1" applyBorder="1">
      <alignment vertical="center"/>
    </xf>
    <xf numFmtId="0" fontId="0" fillId="33" borderId="0" xfId="0" applyFill="1">
      <alignment vertical="center"/>
    </xf>
    <xf numFmtId="176" fontId="0" fillId="0" borderId="0" xfId="0" applyNumberFormat="1">
      <alignment vertical="center"/>
    </xf>
    <xf numFmtId="0" fontId="0" fillId="0" borderId="164" xfId="0" applyBorder="1">
      <alignment vertical="center"/>
    </xf>
    <xf numFmtId="0" fontId="101" fillId="47" borderId="0" xfId="123" applyFont="1" applyFill="1">
      <alignment vertical="center"/>
    </xf>
    <xf numFmtId="0" fontId="15" fillId="0" borderId="0" xfId="136" applyFont="1" applyAlignment="1">
      <alignment horizontal="left" vertical="center"/>
    </xf>
    <xf numFmtId="0" fontId="15" fillId="0" borderId="0" xfId="136" applyFont="1" applyAlignment="1">
      <alignment horizontal="left"/>
    </xf>
    <xf numFmtId="0" fontId="15" fillId="0" borderId="0" xfId="137" applyFont="1">
      <alignment vertical="center"/>
    </xf>
    <xf numFmtId="0" fontId="15" fillId="0" borderId="0" xfId="137" applyFont="1" applyAlignment="1">
      <alignment horizontal="left" vertical="center"/>
    </xf>
    <xf numFmtId="0" fontId="15" fillId="0" borderId="0" xfId="136" applyFont="1" applyAlignment="1">
      <alignment horizontal="center" vertical="center"/>
    </xf>
    <xf numFmtId="0" fontId="106" fillId="0" borderId="0" xfId="137" applyFont="1" applyAlignment="1">
      <alignment horizontal="center" vertical="center"/>
    </xf>
    <xf numFmtId="0" fontId="130" fillId="0" borderId="0" xfId="136" applyFont="1" applyAlignment="1">
      <alignment horizontal="left"/>
    </xf>
    <xf numFmtId="0" fontId="130" fillId="0" borderId="0" xfId="136" applyFont="1" applyAlignment="1">
      <alignment horizontal="center" vertical="center"/>
    </xf>
    <xf numFmtId="0" fontId="131" fillId="0" borderId="0" xfId="136" applyFont="1" applyAlignment="1">
      <alignment vertical="top" wrapText="1"/>
    </xf>
    <xf numFmtId="0" fontId="15" fillId="0" borderId="0" xfId="136" applyFont="1"/>
    <xf numFmtId="0" fontId="14" fillId="0" borderId="0" xfId="137" applyFont="1" applyAlignment="1">
      <alignment horizontal="center" vertical="center"/>
    </xf>
    <xf numFmtId="0" fontId="15" fillId="0" borderId="0" xfId="137" applyFont="1" applyAlignment="1">
      <alignment horizontal="right" vertical="center"/>
    </xf>
    <xf numFmtId="0" fontId="68" fillId="0" borderId="51" xfId="137" applyFont="1" applyBorder="1">
      <alignment vertical="center"/>
    </xf>
    <xf numFmtId="0" fontId="15" fillId="0" borderId="51" xfId="137" applyFont="1" applyBorder="1">
      <alignment vertical="center"/>
    </xf>
    <xf numFmtId="0" fontId="15" fillId="0" borderId="51" xfId="137" applyFont="1" applyBorder="1" applyAlignment="1">
      <alignment horizontal="right" vertical="center"/>
    </xf>
    <xf numFmtId="0" fontId="15" fillId="0" borderId="0" xfId="136" applyFont="1" applyAlignment="1">
      <alignment vertical="center" wrapText="1"/>
    </xf>
    <xf numFmtId="0" fontId="15" fillId="0" borderId="0" xfId="137" applyFont="1" applyAlignment="1">
      <alignment horizontal="center" vertical="center"/>
    </xf>
    <xf numFmtId="0" fontId="126" fillId="32" borderId="13" xfId="138" applyFont="1" applyFill="1" applyBorder="1" applyAlignment="1">
      <alignment horizontal="center" vertical="center"/>
    </xf>
    <xf numFmtId="0" fontId="15" fillId="0" borderId="22" xfId="137" applyFont="1" applyBorder="1" applyAlignment="1">
      <alignment horizontal="left" vertical="center"/>
    </xf>
    <xf numFmtId="0" fontId="15" fillId="0" borderId="0" xfId="136" applyFont="1" applyAlignment="1" applyProtection="1">
      <alignment horizontal="center" vertical="center"/>
      <protection locked="0"/>
    </xf>
    <xf numFmtId="0" fontId="15" fillId="0" borderId="32" xfId="137" applyFont="1" applyBorder="1" applyAlignment="1">
      <alignment horizontal="left" vertical="center"/>
    </xf>
    <xf numFmtId="0" fontId="15" fillId="0" borderId="49" xfId="136" applyFont="1" applyBorder="1" applyAlignment="1">
      <alignment horizontal="left" vertical="center"/>
    </xf>
    <xf numFmtId="0" fontId="15" fillId="0" borderId="49" xfId="136" applyFont="1" applyBorder="1" applyAlignment="1">
      <alignment horizontal="left"/>
    </xf>
    <xf numFmtId="0" fontId="15" fillId="0" borderId="49" xfId="136" applyFont="1" applyBorder="1" applyAlignment="1">
      <alignment vertical="center" wrapText="1"/>
    </xf>
    <xf numFmtId="0" fontId="15" fillId="0" borderId="127" xfId="136" applyFont="1" applyBorder="1" applyAlignment="1">
      <alignment horizontal="left" vertical="center"/>
    </xf>
    <xf numFmtId="0" fontId="15" fillId="0" borderId="0" xfId="136" applyFont="1" applyAlignment="1">
      <alignment vertical="center"/>
    </xf>
    <xf numFmtId="0" fontId="15" fillId="0" borderId="51" xfId="136" applyFont="1" applyBorder="1" applyAlignment="1">
      <alignment horizontal="left" vertical="center"/>
    </xf>
    <xf numFmtId="0" fontId="15" fillId="0" borderId="0" xfId="136" applyFont="1" applyAlignment="1">
      <alignment horizontal="center" vertical="center" shrinkToFit="1"/>
    </xf>
    <xf numFmtId="0" fontId="15" fillId="0" borderId="0" xfId="136" applyFont="1" applyAlignment="1">
      <alignment horizontal="center" shrinkToFit="1"/>
    </xf>
    <xf numFmtId="0" fontId="138" fillId="0" borderId="0" xfId="137" applyAlignment="1">
      <alignment horizontal="center" vertical="center" shrinkToFit="1"/>
    </xf>
    <xf numFmtId="0" fontId="15" fillId="0" borderId="0" xfId="136" applyFont="1" applyAlignment="1">
      <alignment horizontal="center"/>
    </xf>
    <xf numFmtId="0" fontId="15" fillId="0" borderId="127" xfId="136" applyFont="1" applyBorder="1"/>
    <xf numFmtId="0" fontId="15" fillId="30" borderId="0" xfId="139" applyFont="1" applyFill="1" applyAlignment="1" applyProtection="1">
      <alignment horizontal="right" vertical="center" shrinkToFit="1"/>
      <protection locked="0"/>
    </xf>
    <xf numFmtId="0" fontId="15" fillId="0" borderId="0" xfId="136" applyFont="1" applyAlignment="1">
      <alignment horizontal="left" vertical="center" shrinkToFit="1"/>
    </xf>
    <xf numFmtId="0" fontId="15" fillId="0" borderId="0" xfId="136" applyFont="1" applyAlignment="1">
      <alignment shrinkToFit="1"/>
    </xf>
    <xf numFmtId="0" fontId="15" fillId="48" borderId="0" xfId="136" applyFont="1" applyFill="1" applyAlignment="1" applyProtection="1">
      <alignment horizontal="right" vertical="center"/>
      <protection locked="0"/>
    </xf>
    <xf numFmtId="0" fontId="15" fillId="48" borderId="127" xfId="136" applyFont="1" applyFill="1" applyBorder="1" applyAlignment="1" applyProtection="1">
      <alignment horizontal="right" vertical="center"/>
      <protection locked="0"/>
    </xf>
    <xf numFmtId="0" fontId="15" fillId="0" borderId="127" xfId="136" applyFont="1" applyBorder="1" applyAlignment="1">
      <alignment horizontal="center" vertical="center"/>
    </xf>
    <xf numFmtId="49" fontId="15" fillId="30" borderId="127" xfId="136" applyNumberFormat="1" applyFont="1" applyFill="1" applyBorder="1" applyAlignment="1" applyProtection="1">
      <alignment horizontal="center" vertical="center" shrinkToFit="1"/>
      <protection locked="0"/>
    </xf>
    <xf numFmtId="49" fontId="15" fillId="30" borderId="0" xfId="136" applyNumberFormat="1" applyFont="1" applyFill="1" applyAlignment="1" applyProtection="1">
      <alignment horizontal="center" vertical="center" shrinkToFit="1"/>
      <protection locked="0"/>
    </xf>
    <xf numFmtId="0" fontId="15" fillId="30" borderId="0" xfId="139" applyFont="1" applyFill="1" applyAlignment="1" applyProtection="1">
      <alignment horizontal="right" vertical="center"/>
      <protection locked="0"/>
    </xf>
    <xf numFmtId="0" fontId="132" fillId="0" borderId="0" xfId="136" applyFont="1" applyAlignment="1">
      <alignment horizontal="left" vertical="center"/>
    </xf>
    <xf numFmtId="0" fontId="15" fillId="49" borderId="0" xfId="136" applyFont="1" applyFill="1" applyAlignment="1" applyProtection="1">
      <alignment horizontal="center" vertical="center"/>
      <protection locked="0"/>
    </xf>
    <xf numFmtId="0" fontId="15" fillId="0" borderId="0" xfId="136" applyFont="1" applyAlignment="1">
      <alignment horizontal="right" vertical="center"/>
    </xf>
    <xf numFmtId="0" fontId="15" fillId="0" borderId="127" xfId="136" applyFont="1" applyBorder="1" applyAlignment="1">
      <alignment horizontal="left"/>
    </xf>
    <xf numFmtId="49" fontId="15" fillId="49" borderId="0" xfId="136" applyNumberFormat="1" applyFont="1" applyFill="1" applyAlignment="1" applyProtection="1">
      <alignment horizontal="left" vertical="center"/>
      <protection locked="0"/>
    </xf>
    <xf numFmtId="0" fontId="15" fillId="40" borderId="0" xfId="140" applyFont="1" applyFill="1">
      <alignment vertical="center"/>
    </xf>
    <xf numFmtId="0" fontId="15" fillId="40" borderId="0" xfId="140" applyFont="1" applyFill="1" applyAlignment="1">
      <alignment horizontal="left" vertical="center"/>
    </xf>
    <xf numFmtId="49" fontId="15" fillId="49" borderId="0" xfId="136" applyNumberFormat="1" applyFont="1" applyFill="1" applyAlignment="1" applyProtection="1">
      <alignment horizontal="center" vertical="center" shrinkToFit="1"/>
      <protection locked="0"/>
    </xf>
    <xf numFmtId="0" fontId="46" fillId="0" borderId="0" xfId="136" applyFont="1" applyAlignment="1">
      <alignment vertical="center"/>
    </xf>
    <xf numFmtId="0" fontId="74" fillId="0" borderId="0" xfId="136" applyFont="1" applyAlignment="1">
      <alignment vertical="center"/>
    </xf>
    <xf numFmtId="0" fontId="52" fillId="0" borderId="0" xfId="136" applyFont="1" applyAlignment="1">
      <alignment vertical="center"/>
    </xf>
    <xf numFmtId="0" fontId="133" fillId="0" borderId="0" xfId="136" applyFont="1" applyAlignment="1">
      <alignment vertical="center"/>
    </xf>
    <xf numFmtId="0" fontId="76" fillId="0" borderId="0" xfId="136" applyFont="1" applyAlignment="1">
      <alignment horizontal="left" vertical="center"/>
    </xf>
    <xf numFmtId="0" fontId="52" fillId="0" borderId="0" xfId="136" applyFont="1" applyAlignment="1">
      <alignment horizontal="left" vertical="center"/>
    </xf>
    <xf numFmtId="0" fontId="76" fillId="0" borderId="0" xfId="136" applyFont="1" applyAlignment="1">
      <alignment vertical="center"/>
    </xf>
    <xf numFmtId="0" fontId="74" fillId="49" borderId="0" xfId="136" applyFont="1" applyFill="1" applyAlignment="1">
      <alignment vertical="center"/>
    </xf>
    <xf numFmtId="0" fontId="74" fillId="30" borderId="0" xfId="136" applyFont="1" applyFill="1" applyAlignment="1">
      <alignment vertical="center"/>
    </xf>
    <xf numFmtId="0" fontId="74" fillId="47" borderId="0" xfId="136" applyFont="1" applyFill="1" applyAlignment="1">
      <alignment vertical="center"/>
    </xf>
    <xf numFmtId="0" fontId="74" fillId="29" borderId="0" xfId="136" applyFont="1" applyFill="1" applyAlignment="1">
      <alignment vertical="center"/>
    </xf>
    <xf numFmtId="0" fontId="52" fillId="48" borderId="0" xfId="136" applyFont="1" applyFill="1" applyAlignment="1">
      <alignment horizontal="left" vertical="center"/>
    </xf>
    <xf numFmtId="0" fontId="126" fillId="32" borderId="13" xfId="141" applyFont="1" applyFill="1" applyBorder="1" applyAlignment="1">
      <alignment horizontal="left" vertical="center"/>
    </xf>
    <xf numFmtId="0" fontId="74" fillId="32" borderId="49" xfId="136" applyFont="1" applyFill="1" applyBorder="1" applyAlignment="1">
      <alignment vertical="center"/>
    </xf>
    <xf numFmtId="0" fontId="74" fillId="32" borderId="32" xfId="136" applyFont="1" applyFill="1" applyBorder="1" applyAlignment="1">
      <alignment vertical="center"/>
    </xf>
    <xf numFmtId="0" fontId="15" fillId="0" borderId="50" xfId="142" applyFont="1" applyBorder="1" applyAlignment="1">
      <alignment horizontal="left" vertical="center"/>
    </xf>
    <xf numFmtId="0" fontId="74" fillId="0" borderId="51" xfId="136" applyFont="1" applyBorder="1" applyAlignment="1">
      <alignment vertical="center"/>
    </xf>
    <xf numFmtId="0" fontId="15" fillId="0" borderId="13" xfId="142" applyFont="1" applyBorder="1" applyAlignment="1">
      <alignment horizontal="left" vertical="center"/>
    </xf>
    <xf numFmtId="0" fontId="74" fillId="0" borderId="49" xfId="136" applyFont="1" applyBorder="1" applyAlignment="1">
      <alignment vertical="center"/>
    </xf>
    <xf numFmtId="0" fontId="74" fillId="0" borderId="52" xfId="136" applyFont="1" applyBorder="1" applyAlignment="1">
      <alignment vertical="center"/>
    </xf>
    <xf numFmtId="0" fontId="71" fillId="0" borderId="0" xfId="136" applyFont="1" applyAlignment="1">
      <alignment vertical="center"/>
    </xf>
    <xf numFmtId="0" fontId="71" fillId="0" borderId="0" xfId="143" applyFont="1" applyAlignment="1">
      <alignment horizontal="right" vertical="center"/>
    </xf>
    <xf numFmtId="0" fontId="134" fillId="0" borderId="0" xfId="136" applyFont="1" applyAlignment="1">
      <alignment vertical="center"/>
    </xf>
    <xf numFmtId="0" fontId="81" fillId="0" borderId="0" xfId="136" applyFont="1" applyAlignment="1">
      <alignment vertical="center"/>
    </xf>
    <xf numFmtId="0" fontId="134" fillId="0" borderId="0" xfId="136" applyFont="1" applyAlignment="1">
      <alignment horizontal="left" vertical="center"/>
    </xf>
    <xf numFmtId="0" fontId="68" fillId="40" borderId="0" xfId="144" applyFont="1" applyFill="1" applyAlignment="1">
      <alignment horizontal="left" vertical="top"/>
    </xf>
    <xf numFmtId="0" fontId="15" fillId="40" borderId="0" xfId="144" applyFont="1" applyFill="1" applyAlignment="1">
      <alignment horizontal="left" vertical="top"/>
    </xf>
    <xf numFmtId="0" fontId="15" fillId="40" borderId="0" xfId="144" applyFont="1" applyFill="1" applyAlignment="1">
      <alignment horizontal="center" vertical="center"/>
    </xf>
    <xf numFmtId="0" fontId="15" fillId="0" borderId="0" xfId="133" applyFont="1" applyAlignment="1">
      <alignment horizontal="left" vertical="top"/>
    </xf>
    <xf numFmtId="0" fontId="69" fillId="0" borderId="13" xfId="133" applyFont="1" applyBorder="1" applyAlignment="1">
      <alignment horizontal="center" vertical="center" wrapText="1"/>
    </xf>
    <xf numFmtId="0" fontId="69" fillId="0" borderId="13" xfId="133" applyFont="1" applyBorder="1" applyAlignment="1">
      <alignment horizontal="left" vertical="top" wrapText="1"/>
    </xf>
    <xf numFmtId="0" fontId="69" fillId="41" borderId="13" xfId="133" applyFont="1" applyFill="1" applyBorder="1" applyAlignment="1">
      <alignment horizontal="center" vertical="center" wrapText="1"/>
    </xf>
    <xf numFmtId="0" fontId="69" fillId="0" borderId="28" xfId="133" applyFont="1" applyBorder="1" applyAlignment="1">
      <alignment horizontal="left" vertical="top" wrapText="1"/>
    </xf>
    <xf numFmtId="0" fontId="69" fillId="41" borderId="28" xfId="133" applyFont="1" applyFill="1" applyBorder="1" applyAlignment="1">
      <alignment horizontal="center" vertical="center" wrapText="1"/>
    </xf>
    <xf numFmtId="0" fontId="69" fillId="0" borderId="72" xfId="133" applyFont="1" applyBorder="1" applyAlignment="1">
      <alignment horizontal="left" vertical="top" wrapText="1"/>
    </xf>
    <xf numFmtId="0" fontId="69" fillId="41" borderId="72" xfId="133" applyFont="1" applyFill="1" applyBorder="1" applyAlignment="1">
      <alignment horizontal="center" vertical="center" wrapText="1"/>
    </xf>
    <xf numFmtId="0" fontId="69" fillId="0" borderId="73" xfId="133" applyFont="1" applyBorder="1" applyAlignment="1">
      <alignment horizontal="left" vertical="top" wrapText="1"/>
    </xf>
    <xf numFmtId="0" fontId="69" fillId="41" borderId="73" xfId="133" applyFont="1" applyFill="1" applyBorder="1" applyAlignment="1">
      <alignment horizontal="center" vertical="center" wrapText="1"/>
    </xf>
    <xf numFmtId="0" fontId="15" fillId="0" borderId="0" xfId="145" applyFont="1" applyAlignment="1">
      <alignment horizontal="left" vertical="top"/>
    </xf>
    <xf numFmtId="0" fontId="15" fillId="0" borderId="0" xfId="145" applyFont="1" applyAlignment="1">
      <alignment horizontal="center" vertical="center"/>
    </xf>
    <xf numFmtId="0" fontId="9" fillId="0" borderId="0" xfId="146" applyFont="1" applyAlignment="1">
      <alignment vertical="center"/>
    </xf>
    <xf numFmtId="0" fontId="8" fillId="0" borderId="0" xfId="146" applyFont="1" applyAlignment="1">
      <alignment vertical="center"/>
    </xf>
    <xf numFmtId="0" fontId="23" fillId="0" borderId="0" xfId="146" applyFont="1" applyAlignment="1">
      <alignment horizontal="center" vertical="center"/>
    </xf>
    <xf numFmtId="0" fontId="6" fillId="0" borderId="0" xfId="146" applyFont="1" applyAlignment="1">
      <alignment vertical="center"/>
    </xf>
    <xf numFmtId="0" fontId="6" fillId="0" borderId="51" xfId="146" applyFont="1" applyBorder="1" applyAlignment="1">
      <alignment vertical="center"/>
    </xf>
    <xf numFmtId="0" fontId="6" fillId="0" borderId="51" xfId="146" applyFont="1" applyBorder="1" applyAlignment="1">
      <alignment horizontal="center" vertical="center"/>
    </xf>
    <xf numFmtId="0" fontId="6" fillId="49" borderId="165" xfId="146" applyFont="1" applyFill="1" applyBorder="1" applyAlignment="1">
      <alignment horizontal="center" vertical="center"/>
    </xf>
    <xf numFmtId="0" fontId="6" fillId="0" borderId="51" xfId="146" applyFont="1" applyBorder="1" applyAlignment="1">
      <alignment horizontal="center" vertical="center" shrinkToFit="1"/>
    </xf>
    <xf numFmtId="0" fontId="9" fillId="0" borderId="0" xfId="146" applyFont="1" applyAlignment="1">
      <alignment horizontal="center" vertical="center" shrinkToFit="1"/>
    </xf>
    <xf numFmtId="0" fontId="9" fillId="0" borderId="21" xfId="146" applyFont="1" applyBorder="1" applyAlignment="1">
      <alignment vertical="center"/>
    </xf>
    <xf numFmtId="0" fontId="9" fillId="0" borderId="49" xfId="146" applyFont="1" applyBorder="1" applyAlignment="1">
      <alignment vertical="center"/>
    </xf>
    <xf numFmtId="0" fontId="9" fillId="0" borderId="32" xfId="146" applyFont="1" applyBorder="1" applyAlignment="1">
      <alignment horizontal="left" vertical="center"/>
    </xf>
    <xf numFmtId="0" fontId="9" fillId="47" borderId="51" xfId="146" applyFont="1" applyFill="1" applyBorder="1" applyAlignment="1">
      <alignment vertical="center"/>
    </xf>
    <xf numFmtId="0" fontId="9" fillId="0" borderId="51" xfId="146" applyFont="1" applyBorder="1" applyAlignment="1">
      <alignment vertical="center"/>
    </xf>
    <xf numFmtId="0" fontId="9" fillId="0" borderId="51" xfId="146" applyFont="1" applyBorder="1" applyAlignment="1">
      <alignment horizontal="right" vertical="center"/>
    </xf>
    <xf numFmtId="0" fontId="9" fillId="0" borderId="166" xfId="146" applyFont="1" applyBorder="1" applyAlignment="1">
      <alignment vertical="center"/>
    </xf>
    <xf numFmtId="0" fontId="9" fillId="0" borderId="32" xfId="146" applyFont="1" applyBorder="1" applyAlignment="1">
      <alignment vertical="center"/>
    </xf>
    <xf numFmtId="0" fontId="136" fillId="0" borderId="167" xfId="147" applyFont="1" applyBorder="1" applyAlignment="1">
      <alignment vertical="center"/>
    </xf>
    <xf numFmtId="0" fontId="136" fillId="0" borderId="168" xfId="147" applyFont="1" applyBorder="1" applyAlignment="1">
      <alignment vertical="center"/>
    </xf>
    <xf numFmtId="0" fontId="12" fillId="0" borderId="168" xfId="146" applyFont="1" applyBorder="1" applyAlignment="1">
      <alignment vertical="center"/>
    </xf>
    <xf numFmtId="0" fontId="12" fillId="0" borderId="169" xfId="146" applyFont="1" applyBorder="1" applyAlignment="1">
      <alignment vertical="center"/>
    </xf>
    <xf numFmtId="0" fontId="9" fillId="0" borderId="11" xfId="146" applyFont="1" applyBorder="1" applyAlignment="1">
      <alignment vertical="center"/>
    </xf>
    <xf numFmtId="0" fontId="9" fillId="47" borderId="0" xfId="146" applyFont="1" applyFill="1" applyAlignment="1">
      <alignment vertical="center"/>
    </xf>
    <xf numFmtId="0" fontId="96" fillId="0" borderId="0" xfId="146" applyFont="1" applyAlignment="1">
      <alignment vertical="center"/>
    </xf>
    <xf numFmtId="0" fontId="9" fillId="49" borderId="0" xfId="146" applyFont="1" applyFill="1" applyAlignment="1">
      <alignment horizontal="center" vertical="center" shrinkToFit="1"/>
    </xf>
    <xf numFmtId="0" fontId="9" fillId="0" borderId="0" xfId="146" applyFont="1" applyAlignment="1">
      <alignment horizontal="center" vertical="center"/>
    </xf>
    <xf numFmtId="0" fontId="9" fillId="0" borderId="15" xfId="146" applyFont="1" applyBorder="1" applyAlignment="1">
      <alignment vertical="center"/>
    </xf>
    <xf numFmtId="0" fontId="136" fillId="0" borderId="0" xfId="147" applyFont="1" applyAlignment="1">
      <alignment vertical="center"/>
    </xf>
    <xf numFmtId="0" fontId="12" fillId="0" borderId="0" xfId="146" applyFont="1" applyAlignment="1">
      <alignment vertical="center"/>
    </xf>
    <xf numFmtId="0" fontId="12" fillId="0" borderId="170" xfId="146" applyFont="1" applyBorder="1" applyAlignment="1">
      <alignment vertical="center"/>
    </xf>
    <xf numFmtId="0" fontId="10" fillId="0" borderId="0" xfId="146" applyFont="1" applyAlignment="1">
      <alignment horizontal="left" vertical="center"/>
    </xf>
    <xf numFmtId="0" fontId="12" fillId="0" borderId="171" xfId="146" applyFont="1" applyBorder="1" applyAlignment="1">
      <alignment vertical="center"/>
    </xf>
    <xf numFmtId="0" fontId="8" fillId="0" borderId="170" xfId="146" applyFont="1" applyBorder="1" applyAlignment="1">
      <alignment vertical="center"/>
    </xf>
    <xf numFmtId="0" fontId="9" fillId="47" borderId="49" xfId="146" applyFont="1" applyFill="1" applyBorder="1" applyAlignment="1">
      <alignment vertical="center"/>
    </xf>
    <xf numFmtId="0" fontId="9" fillId="0" borderId="49" xfId="146" applyFont="1" applyBorder="1" applyAlignment="1">
      <alignment horizontal="right" vertical="center"/>
    </xf>
    <xf numFmtId="0" fontId="9" fillId="0" borderId="172" xfId="146" applyFont="1" applyBorder="1" applyAlignment="1">
      <alignment horizontal="left" vertical="center"/>
    </xf>
    <xf numFmtId="0" fontId="9" fillId="47" borderId="127" xfId="146" applyFont="1" applyFill="1" applyBorder="1" applyAlignment="1">
      <alignment vertical="center"/>
    </xf>
    <xf numFmtId="0" fontId="22" fillId="0" borderId="49" xfId="146" applyFont="1" applyBorder="1" applyAlignment="1">
      <alignment vertical="center"/>
    </xf>
    <xf numFmtId="0" fontId="8" fillId="0" borderId="171" xfId="146" applyFont="1" applyBorder="1" applyAlignment="1">
      <alignment vertical="center"/>
    </xf>
    <xf numFmtId="0" fontId="9" fillId="0" borderId="0" xfId="146" applyFont="1" applyAlignment="1">
      <alignment horizontal="right" vertical="center"/>
    </xf>
    <xf numFmtId="0" fontId="9" fillId="0" borderId="127" xfId="146" applyFont="1" applyBorder="1" applyAlignment="1">
      <alignment vertical="center"/>
    </xf>
    <xf numFmtId="0" fontId="9" fillId="0" borderId="173" xfId="146" applyFont="1" applyBorder="1" applyAlignment="1">
      <alignment vertical="center"/>
    </xf>
    <xf numFmtId="0" fontId="22" fillId="0" borderId="0" xfId="146" applyFont="1" applyAlignment="1">
      <alignment vertical="center"/>
    </xf>
    <xf numFmtId="0" fontId="97" fillId="0" borderId="0" xfId="146" applyFont="1"/>
    <xf numFmtId="0" fontId="9" fillId="0" borderId="12" xfId="146" applyFont="1" applyBorder="1" applyAlignment="1">
      <alignment vertical="center"/>
    </xf>
    <xf numFmtId="0" fontId="9" fillId="0" borderId="174" xfId="146" applyFont="1" applyBorder="1" applyAlignment="1">
      <alignment vertical="center"/>
    </xf>
    <xf numFmtId="0" fontId="9" fillId="0" borderId="22" xfId="146" applyFont="1" applyBorder="1" applyAlignment="1">
      <alignment vertical="center"/>
    </xf>
    <xf numFmtId="0" fontId="8" fillId="0" borderId="175" xfId="146" applyFont="1" applyBorder="1" applyAlignment="1">
      <alignment vertical="center"/>
    </xf>
    <xf numFmtId="0" fontId="8" fillId="0" borderId="176" xfId="146" applyFont="1" applyBorder="1" applyAlignment="1">
      <alignment vertical="center"/>
    </xf>
    <xf numFmtId="0" fontId="12" fillId="0" borderId="176" xfId="146" applyFont="1" applyBorder="1" applyAlignment="1">
      <alignment vertical="center"/>
    </xf>
    <xf numFmtId="0" fontId="8" fillId="0" borderId="177" xfId="146" applyFont="1" applyBorder="1" applyAlignment="1">
      <alignment vertical="center"/>
    </xf>
    <xf numFmtId="0" fontId="9" fillId="0" borderId="49" xfId="146" applyFont="1" applyBorder="1" applyAlignment="1">
      <alignment horizontal="left" vertical="center"/>
    </xf>
    <xf numFmtId="0" fontId="8" fillId="0" borderId="49" xfId="146" applyFont="1" applyBorder="1" applyAlignment="1">
      <alignment vertical="center"/>
    </xf>
    <xf numFmtId="0" fontId="9" fillId="0" borderId="174" xfId="146" applyFont="1" applyBorder="1" applyAlignment="1">
      <alignment horizontal="left" vertical="center"/>
    </xf>
    <xf numFmtId="0" fontId="9" fillId="0" borderId="0" xfId="146" applyFont="1" applyAlignment="1">
      <alignment vertical="top" wrapText="1"/>
    </xf>
    <xf numFmtId="0" fontId="9" fillId="0" borderId="142" xfId="146" applyFont="1" applyBorder="1" applyAlignment="1">
      <alignment vertical="center"/>
    </xf>
    <xf numFmtId="0" fontId="9" fillId="0" borderId="10" xfId="146" applyFont="1" applyBorder="1" applyAlignment="1">
      <alignment vertical="center"/>
    </xf>
    <xf numFmtId="0" fontId="9" fillId="0" borderId="127" xfId="146" applyFont="1" applyBorder="1" applyAlignment="1">
      <alignment horizontal="right" vertical="center"/>
    </xf>
    <xf numFmtId="0" fontId="9" fillId="0" borderId="178" xfId="146" applyFont="1" applyBorder="1" applyAlignment="1">
      <alignment vertical="center"/>
    </xf>
    <xf numFmtId="0" fontId="9" fillId="0" borderId="179" xfId="146" applyFont="1" applyBorder="1" applyAlignment="1">
      <alignment vertical="center"/>
    </xf>
    <xf numFmtId="0" fontId="9" fillId="0" borderId="180" xfId="146" applyFont="1" applyBorder="1" applyAlignment="1">
      <alignment vertical="center"/>
    </xf>
    <xf numFmtId="0" fontId="9" fillId="0" borderId="181" xfId="146" applyFont="1" applyBorder="1" applyAlignment="1">
      <alignment vertical="center"/>
    </xf>
    <xf numFmtId="0" fontId="9" fillId="0" borderId="182" xfId="146" applyFont="1" applyBorder="1" applyAlignment="1">
      <alignment vertical="center"/>
    </xf>
    <xf numFmtId="177" fontId="9" fillId="0" borderId="0" xfId="146" applyNumberFormat="1" applyFont="1" applyAlignment="1">
      <alignment horizontal="right" vertical="center"/>
    </xf>
    <xf numFmtId="0" fontId="9" fillId="0" borderId="183" xfId="146" applyFont="1" applyBorder="1" applyAlignment="1">
      <alignment vertical="center"/>
    </xf>
    <xf numFmtId="0" fontId="9" fillId="0" borderId="172" xfId="146" applyFont="1" applyBorder="1" applyAlignment="1">
      <alignment vertical="center"/>
    </xf>
    <xf numFmtId="0" fontId="9" fillId="0" borderId="122" xfId="146" applyFont="1" applyBorder="1" applyAlignment="1">
      <alignment vertical="center"/>
    </xf>
    <xf numFmtId="0" fontId="9" fillId="47" borderId="123" xfId="146" applyFont="1" applyFill="1" applyBorder="1" applyAlignment="1">
      <alignment vertical="center"/>
    </xf>
    <xf numFmtId="0" fontId="9" fillId="0" borderId="123" xfId="146" applyFont="1" applyBorder="1" applyAlignment="1">
      <alignment vertical="center"/>
    </xf>
    <xf numFmtId="0" fontId="9" fillId="0" borderId="123" xfId="146" applyFont="1" applyBorder="1" applyAlignment="1">
      <alignment horizontal="right" vertical="center"/>
    </xf>
    <xf numFmtId="0" fontId="9" fillId="0" borderId="184" xfId="146" applyFont="1" applyBorder="1" applyAlignment="1">
      <alignment vertical="center"/>
    </xf>
    <xf numFmtId="0" fontId="8" fillId="0" borderId="51" xfId="146" applyFont="1" applyBorder="1" applyAlignment="1">
      <alignment vertical="center"/>
    </xf>
    <xf numFmtId="0" fontId="9" fillId="0" borderId="49" xfId="146" applyFont="1" applyBorder="1" applyAlignment="1">
      <alignment horizontal="center" vertical="center"/>
    </xf>
    <xf numFmtId="0" fontId="8" fillId="0" borderId="127" xfId="146" applyFont="1" applyBorder="1" applyAlignment="1">
      <alignment vertical="center"/>
    </xf>
    <xf numFmtId="0" fontId="9" fillId="0" borderId="185" xfId="146" applyFont="1" applyBorder="1" applyAlignment="1">
      <alignment vertical="center"/>
    </xf>
    <xf numFmtId="0" fontId="9" fillId="0" borderId="14" xfId="146" applyFont="1" applyBorder="1" applyAlignment="1">
      <alignment vertical="center"/>
    </xf>
    <xf numFmtId="0" fontId="10" fillId="0" borderId="127" xfId="146" applyFont="1" applyBorder="1" applyAlignment="1">
      <alignment vertical="center"/>
    </xf>
    <xf numFmtId="0" fontId="8" fillId="47" borderId="0" xfId="146" applyFont="1" applyFill="1" applyAlignment="1">
      <alignment vertical="center"/>
    </xf>
    <xf numFmtId="0" fontId="137" fillId="0" borderId="0" xfId="146" applyFont="1" applyAlignment="1">
      <alignment vertical="center"/>
    </xf>
    <xf numFmtId="0" fontId="10" fillId="0" borderId="0" xfId="146" applyFont="1" applyAlignment="1">
      <alignment vertical="center"/>
    </xf>
    <xf numFmtId="0" fontId="10" fillId="0" borderId="51" xfId="146" applyFont="1" applyBorder="1" applyAlignment="1">
      <alignment vertical="center"/>
    </xf>
    <xf numFmtId="0" fontId="0" fillId="0" borderId="160" xfId="0" applyBorder="1">
      <alignment vertical="center"/>
    </xf>
    <xf numFmtId="0" fontId="0" fillId="0" borderId="154" xfId="0" applyBorder="1">
      <alignment vertical="center"/>
    </xf>
    <xf numFmtId="0" fontId="0" fillId="0" borderId="161" xfId="0" applyBorder="1">
      <alignment vertical="center"/>
    </xf>
    <xf numFmtId="0" fontId="0" fillId="0" borderId="51" xfId="0" applyBorder="1">
      <alignment vertical="center"/>
    </xf>
    <xf numFmtId="0" fontId="5" fillId="0" borderId="173" xfId="0" applyFont="1" applyBorder="1">
      <alignment vertical="center"/>
    </xf>
    <xf numFmtId="0" fontId="0" fillId="0" borderId="321" xfId="0" applyBorder="1">
      <alignment vertical="center"/>
    </xf>
    <xf numFmtId="0" fontId="0" fillId="0" borderId="173" xfId="0" applyBorder="1">
      <alignment vertical="center"/>
    </xf>
    <xf numFmtId="0" fontId="0" fillId="0" borderId="227" xfId="0" applyBorder="1">
      <alignment vertical="center"/>
    </xf>
    <xf numFmtId="0" fontId="0" fillId="0" borderId="323" xfId="0" applyBorder="1">
      <alignment vertical="center"/>
    </xf>
    <xf numFmtId="0" fontId="0" fillId="0" borderId="226" xfId="0" applyBorder="1">
      <alignment vertical="center"/>
    </xf>
    <xf numFmtId="0" fontId="0" fillId="0" borderId="325" xfId="0" applyBorder="1">
      <alignment vertical="center"/>
    </xf>
    <xf numFmtId="0" fontId="5" fillId="0" borderId="226" xfId="0" applyFont="1" applyBorder="1">
      <alignment vertical="center"/>
    </xf>
    <xf numFmtId="0" fontId="5" fillId="0" borderId="227" xfId="0" applyFont="1" applyBorder="1">
      <alignment vertical="center"/>
    </xf>
    <xf numFmtId="0" fontId="5" fillId="0" borderId="51" xfId="0" applyFont="1" applyBorder="1">
      <alignment vertical="center"/>
    </xf>
    <xf numFmtId="0" fontId="140" fillId="0" borderId="0" xfId="0" applyFont="1" applyAlignment="1">
      <alignment horizontal="left" vertical="center"/>
    </xf>
    <xf numFmtId="0" fontId="0" fillId="0" borderId="158" xfId="0" applyBorder="1">
      <alignment vertical="center"/>
    </xf>
    <xf numFmtId="0" fontId="0" fillId="0" borderId="159" xfId="0" applyBorder="1">
      <alignment vertical="center"/>
    </xf>
    <xf numFmtId="0" fontId="5" fillId="0" borderId="154" xfId="0" applyFont="1" applyBorder="1">
      <alignment vertical="center"/>
    </xf>
    <xf numFmtId="0" fontId="6" fillId="0" borderId="0" xfId="0" applyFont="1" applyAlignment="1">
      <alignment horizontal="right" vertical="center"/>
    </xf>
    <xf numFmtId="0" fontId="5" fillId="0" borderId="0" xfId="0" applyFont="1">
      <alignment vertical="center"/>
    </xf>
    <xf numFmtId="0" fontId="0" fillId="0" borderId="0" xfId="0" applyAlignment="1">
      <alignment horizontal="right" vertical="center"/>
    </xf>
    <xf numFmtId="0" fontId="142" fillId="0" borderId="0" xfId="0" applyFont="1">
      <alignment vertical="center"/>
    </xf>
    <xf numFmtId="0" fontId="0" fillId="47" borderId="0" xfId="0" applyFill="1">
      <alignment vertical="center"/>
    </xf>
    <xf numFmtId="0" fontId="5" fillId="0" borderId="0" xfId="0" applyFont="1" applyAlignment="1">
      <alignment vertical="center" shrinkToFit="1"/>
    </xf>
    <xf numFmtId="0" fontId="141" fillId="0" borderId="0" xfId="0" applyFont="1">
      <alignment vertical="center"/>
    </xf>
    <xf numFmtId="49" fontId="5" fillId="0" borderId="0" xfId="0" applyNumberFormat="1" applyFont="1" applyAlignment="1">
      <alignment horizontal="right" vertical="center"/>
    </xf>
    <xf numFmtId="0" fontId="5" fillId="0" borderId="0" xfId="0" applyFont="1" applyAlignment="1">
      <alignment vertical="center" wrapText="1"/>
    </xf>
    <xf numFmtId="49" fontId="0" fillId="0" borderId="0" xfId="0" applyNumberFormat="1" applyAlignment="1">
      <alignment horizontal="left" vertical="center" wrapText="1"/>
    </xf>
    <xf numFmtId="0" fontId="142" fillId="0" borderId="156" xfId="0" applyFont="1" applyBorder="1">
      <alignment vertical="center"/>
    </xf>
    <xf numFmtId="0" fontId="142" fillId="0" borderId="157" xfId="0" applyFont="1" applyBorder="1">
      <alignment vertical="center"/>
    </xf>
    <xf numFmtId="0" fontId="5" fillId="0" borderId="159" xfId="0" applyFont="1" applyBorder="1">
      <alignment vertical="center"/>
    </xf>
    <xf numFmtId="0" fontId="0" fillId="47" borderId="158" xfId="0" applyFill="1" applyBorder="1">
      <alignment vertical="center"/>
    </xf>
    <xf numFmtId="0" fontId="5" fillId="0" borderId="326" xfId="0" applyFont="1" applyBorder="1">
      <alignment vertical="center"/>
    </xf>
    <xf numFmtId="0" fontId="0" fillId="0" borderId="326" xfId="0" applyBorder="1">
      <alignment vertical="center"/>
    </xf>
    <xf numFmtId="0" fontId="0" fillId="0" borderId="327" xfId="0" applyBorder="1">
      <alignment vertical="center"/>
    </xf>
    <xf numFmtId="0" fontId="0" fillId="0" borderId="328" xfId="0" applyBorder="1">
      <alignment vertical="center"/>
    </xf>
    <xf numFmtId="0" fontId="140" fillId="0" borderId="0" xfId="0" applyFont="1">
      <alignment vertical="center"/>
    </xf>
    <xf numFmtId="0" fontId="0" fillId="0" borderId="329" xfId="0" applyBorder="1">
      <alignment vertical="center"/>
    </xf>
    <xf numFmtId="0" fontId="0" fillId="0" borderId="330" xfId="0" applyBorder="1">
      <alignment vertical="center"/>
    </xf>
    <xf numFmtId="0" fontId="0" fillId="47" borderId="227" xfId="0" applyFill="1" applyBorder="1">
      <alignment vertical="center"/>
    </xf>
    <xf numFmtId="0" fontId="140" fillId="47" borderId="0" xfId="0" applyFont="1" applyFill="1">
      <alignment vertical="center"/>
    </xf>
    <xf numFmtId="49" fontId="140" fillId="0" borderId="0" xfId="0" applyNumberFormat="1" applyFont="1" applyAlignment="1">
      <alignment horizontal="right" vertical="center"/>
    </xf>
    <xf numFmtId="0" fontId="0" fillId="0" borderId="146" xfId="0" applyBorder="1">
      <alignment vertical="center"/>
    </xf>
    <xf numFmtId="0" fontId="0" fillId="0" borderId="148" xfId="0" applyBorder="1">
      <alignment vertical="center"/>
    </xf>
    <xf numFmtId="0" fontId="0" fillId="0" borderId="149" xfId="0" applyBorder="1">
      <alignment vertical="center"/>
    </xf>
    <xf numFmtId="0" fontId="0" fillId="0" borderId="150" xfId="0" applyBorder="1">
      <alignment vertical="center"/>
    </xf>
    <xf numFmtId="0" fontId="0" fillId="0" borderId="331" xfId="0" applyBorder="1">
      <alignment vertical="center"/>
    </xf>
    <xf numFmtId="0" fontId="0" fillId="0" borderId="332" xfId="0" applyBorder="1">
      <alignment vertical="center"/>
    </xf>
    <xf numFmtId="0" fontId="5" fillId="0" borderId="158" xfId="0" applyFont="1" applyBorder="1">
      <alignment vertical="center"/>
    </xf>
    <xf numFmtId="0" fontId="0" fillId="47" borderId="155" xfId="0" applyFill="1" applyBorder="1">
      <alignment vertical="center"/>
    </xf>
    <xf numFmtId="0" fontId="140" fillId="0" borderId="158" xfId="0" applyFont="1" applyBorder="1">
      <alignment vertical="center"/>
    </xf>
    <xf numFmtId="0" fontId="5" fillId="0" borderId="329" xfId="0" applyFont="1" applyBorder="1">
      <alignment vertical="center"/>
    </xf>
    <xf numFmtId="0" fontId="145" fillId="0" borderId="0" xfId="0" applyFont="1">
      <alignment vertical="center"/>
    </xf>
    <xf numFmtId="0" fontId="146" fillId="47" borderId="327" xfId="0" applyFont="1" applyFill="1" applyBorder="1">
      <alignment vertical="center"/>
    </xf>
    <xf numFmtId="0" fontId="146" fillId="0" borderId="226" xfId="0" applyFont="1" applyBorder="1">
      <alignment vertical="center"/>
    </xf>
    <xf numFmtId="0" fontId="146" fillId="0" borderId="328" xfId="0" applyFont="1" applyBorder="1">
      <alignment vertical="center"/>
    </xf>
    <xf numFmtId="0" fontId="146" fillId="0" borderId="0" xfId="0" applyFont="1">
      <alignment vertical="center"/>
    </xf>
    <xf numFmtId="0" fontId="146" fillId="0" borderId="158" xfId="0" applyFont="1" applyBorder="1">
      <alignment vertical="center"/>
    </xf>
    <xf numFmtId="0" fontId="146" fillId="47" borderId="0" xfId="0" applyFont="1" applyFill="1">
      <alignment vertical="center"/>
    </xf>
    <xf numFmtId="0" fontId="146" fillId="0" borderId="159" xfId="0" applyFont="1" applyBorder="1">
      <alignment vertical="center"/>
    </xf>
    <xf numFmtId="0" fontId="146" fillId="0" borderId="0" xfId="0" applyFont="1" applyAlignment="1">
      <alignment vertical="center" shrinkToFit="1"/>
    </xf>
    <xf numFmtId="0" fontId="146" fillId="0" borderId="0" xfId="0" applyFont="1" applyAlignment="1">
      <alignment horizontal="center" vertical="center"/>
    </xf>
    <xf numFmtId="0" fontId="147" fillId="0" borderId="0" xfId="0" applyFont="1">
      <alignment vertical="center"/>
    </xf>
    <xf numFmtId="0" fontId="146" fillId="47" borderId="158" xfId="0" applyFont="1" applyFill="1" applyBorder="1">
      <alignment vertical="center"/>
    </xf>
    <xf numFmtId="0" fontId="5" fillId="0" borderId="0" xfId="0" applyFont="1" applyAlignment="1">
      <alignment horizontal="right" vertical="center"/>
    </xf>
    <xf numFmtId="0" fontId="140" fillId="0" borderId="0" xfId="0" applyFont="1" applyAlignment="1">
      <alignment horizontal="right" vertical="center"/>
    </xf>
    <xf numFmtId="0" fontId="142" fillId="0" borderId="0" xfId="0" applyFont="1" applyAlignment="1">
      <alignment horizontal="right" vertical="center"/>
    </xf>
    <xf numFmtId="0" fontId="146" fillId="0" borderId="0" xfId="0" applyFont="1" applyAlignment="1">
      <alignment horizontal="right" vertical="center"/>
    </xf>
    <xf numFmtId="0" fontId="140" fillId="0" borderId="0" xfId="0" applyFont="1" applyAlignment="1">
      <alignment vertical="center" textRotation="255"/>
    </xf>
    <xf numFmtId="0" fontId="0" fillId="0" borderId="333" xfId="0" applyBorder="1">
      <alignment vertical="center"/>
    </xf>
    <xf numFmtId="0" fontId="0" fillId="47" borderId="322" xfId="0" applyFill="1" applyBorder="1">
      <alignment vertical="center"/>
    </xf>
    <xf numFmtId="0" fontId="5" fillId="0" borderId="324" xfId="0" applyFont="1" applyBorder="1">
      <alignment vertical="center"/>
    </xf>
    <xf numFmtId="0" fontId="149" fillId="0" borderId="324" xfId="0" applyFont="1" applyBorder="1" applyAlignment="1"/>
    <xf numFmtId="0" fontId="5" fillId="0" borderId="51" xfId="0" applyFont="1" applyBorder="1" applyAlignment="1">
      <alignment vertical="center" wrapText="1"/>
    </xf>
    <xf numFmtId="0" fontId="0" fillId="0" borderId="166" xfId="0" applyBorder="1">
      <alignment vertical="center"/>
    </xf>
    <xf numFmtId="0" fontId="5" fillId="0" borderId="166" xfId="0" applyFont="1" applyBorder="1">
      <alignment vertical="center"/>
    </xf>
    <xf numFmtId="0" fontId="0" fillId="0" borderId="334" xfId="0" applyBorder="1">
      <alignment vertical="center"/>
    </xf>
    <xf numFmtId="0" fontId="0" fillId="0" borderId="335" xfId="0" applyBorder="1">
      <alignment vertical="center"/>
    </xf>
    <xf numFmtId="0" fontId="150" fillId="0" borderId="158" xfId="0" applyFont="1" applyBorder="1" applyAlignment="1">
      <alignment horizontal="center" vertical="center"/>
    </xf>
    <xf numFmtId="0" fontId="0" fillId="47" borderId="183" xfId="0" applyFill="1" applyBorder="1">
      <alignment vertical="center"/>
    </xf>
    <xf numFmtId="0" fontId="5" fillId="0" borderId="182" xfId="0" applyFont="1" applyBorder="1">
      <alignment vertical="center"/>
    </xf>
    <xf numFmtId="0" fontId="0" fillId="0" borderId="182" xfId="0" applyBorder="1">
      <alignment vertical="center"/>
    </xf>
    <xf numFmtId="0" fontId="0" fillId="47" borderId="182" xfId="0" applyFill="1" applyBorder="1">
      <alignment vertical="center"/>
    </xf>
    <xf numFmtId="0" fontId="0" fillId="0" borderId="181" xfId="0" applyBorder="1">
      <alignment vertical="center"/>
    </xf>
    <xf numFmtId="0" fontId="0" fillId="47" borderId="173" xfId="0" applyFill="1" applyBorder="1">
      <alignment vertical="center"/>
    </xf>
    <xf numFmtId="0" fontId="156" fillId="0" borderId="156" xfId="0" applyFont="1" applyBorder="1">
      <alignment vertical="center"/>
    </xf>
    <xf numFmtId="0" fontId="7" fillId="0" borderId="0" xfId="0" applyFont="1" applyAlignment="1">
      <alignment horizontal="left" vertical="center" shrinkToFit="1"/>
    </xf>
    <xf numFmtId="49" fontId="6" fillId="0" borderId="0" xfId="0" applyNumberFormat="1" applyFont="1" applyAlignment="1">
      <alignment vertical="center" wrapText="1"/>
    </xf>
    <xf numFmtId="0" fontId="6" fillId="0" borderId="158" xfId="0" applyFont="1" applyBorder="1" applyAlignment="1">
      <alignment horizontal="right" vertical="center" shrinkToFit="1"/>
    </xf>
    <xf numFmtId="0" fontId="6" fillId="0" borderId="159" xfId="0" applyFont="1" applyBorder="1">
      <alignment vertical="center"/>
    </xf>
    <xf numFmtId="0" fontId="141" fillId="0" borderId="0" xfId="0" applyFont="1" applyAlignment="1">
      <alignment horizontal="left" vertical="center"/>
    </xf>
    <xf numFmtId="0" fontId="0" fillId="47" borderId="160" xfId="0" applyFill="1" applyBorder="1">
      <alignment vertical="center"/>
    </xf>
    <xf numFmtId="0" fontId="144" fillId="0" borderId="0" xfId="0" applyFont="1" applyAlignment="1">
      <alignment horizontal="center" vertical="center"/>
    </xf>
    <xf numFmtId="0" fontId="7" fillId="0" borderId="154" xfId="0" applyFont="1" applyBorder="1" applyAlignment="1">
      <alignment vertical="top"/>
    </xf>
    <xf numFmtId="0" fontId="5" fillId="0" borderId="145" xfId="0" applyFont="1" applyBorder="1">
      <alignment vertical="center"/>
    </xf>
    <xf numFmtId="0" fontId="5" fillId="0" borderId="149" xfId="0" applyFont="1" applyBorder="1">
      <alignment vertical="center"/>
    </xf>
    <xf numFmtId="0" fontId="2" fillId="0" borderId="0" xfId="148">
      <alignment vertical="center"/>
    </xf>
    <xf numFmtId="14" fontId="2" fillId="0" borderId="0" xfId="148" applyNumberFormat="1">
      <alignment vertical="center"/>
    </xf>
    <xf numFmtId="0" fontId="143" fillId="0" borderId="159" xfId="0" applyFont="1" applyBorder="1" applyAlignment="1">
      <alignment vertical="top"/>
    </xf>
    <xf numFmtId="0" fontId="143" fillId="0" borderId="154" xfId="0" applyFont="1" applyBorder="1" applyAlignment="1">
      <alignment vertical="top"/>
    </xf>
    <xf numFmtId="0" fontId="143" fillId="0" borderId="161" xfId="0" applyFont="1" applyBorder="1" applyAlignment="1">
      <alignment vertical="top"/>
    </xf>
    <xf numFmtId="191" fontId="162" fillId="0" borderId="159" xfId="0" applyNumberFormat="1" applyFont="1" applyBorder="1" applyAlignment="1">
      <alignment vertical="center" wrapText="1"/>
    </xf>
    <xf numFmtId="0" fontId="163" fillId="0" borderId="159" xfId="0" applyFont="1" applyBorder="1" applyAlignment="1">
      <alignment vertical="center" wrapText="1"/>
    </xf>
    <xf numFmtId="49" fontId="135" fillId="49" borderId="0" xfId="0" applyNumberFormat="1" applyFont="1" applyFill="1" applyAlignment="1" applyProtection="1">
      <alignment vertical="center" shrinkToFit="1"/>
      <protection locked="0"/>
    </xf>
    <xf numFmtId="191" fontId="159" fillId="0" borderId="0" xfId="0" applyNumberFormat="1" applyFont="1" applyAlignment="1" applyProtection="1">
      <alignment vertical="center" wrapText="1"/>
      <protection locked="0"/>
    </xf>
    <xf numFmtId="0" fontId="166" fillId="0" borderId="0" xfId="0" applyFont="1">
      <alignment vertical="center"/>
    </xf>
    <xf numFmtId="0" fontId="167" fillId="0" borderId="0" xfId="0" applyFont="1">
      <alignment vertical="center"/>
    </xf>
    <xf numFmtId="0" fontId="166" fillId="0" borderId="51" xfId="0" applyFont="1" applyBorder="1">
      <alignment vertical="center"/>
    </xf>
    <xf numFmtId="0" fontId="151" fillId="0" borderId="159" xfId="0" applyFont="1" applyBorder="1" applyAlignment="1">
      <alignment vertical="center" wrapText="1"/>
    </xf>
    <xf numFmtId="191" fontId="161" fillId="0" borderId="159" xfId="0" applyNumberFormat="1" applyFont="1" applyBorder="1" applyAlignment="1">
      <alignment vertical="center" wrapText="1"/>
    </xf>
    <xf numFmtId="191" fontId="162" fillId="0" borderId="0" xfId="0" applyNumberFormat="1" applyFont="1" applyAlignment="1">
      <alignment vertical="center" wrapText="1"/>
    </xf>
    <xf numFmtId="0" fontId="151" fillId="0" borderId="0" xfId="0" applyFont="1" applyAlignment="1">
      <alignment vertical="center" wrapText="1"/>
    </xf>
    <xf numFmtId="0" fontId="165" fillId="0" borderId="0" xfId="0" applyFont="1" applyAlignment="1">
      <alignment vertical="center" wrapText="1"/>
    </xf>
    <xf numFmtId="0" fontId="163" fillId="0" borderId="0" xfId="0" applyFont="1" applyAlignment="1">
      <alignment vertical="center" wrapText="1"/>
    </xf>
    <xf numFmtId="191" fontId="161" fillId="0" borderId="0" xfId="0" applyNumberFormat="1" applyFont="1" applyAlignment="1">
      <alignment vertical="center" wrapText="1"/>
    </xf>
    <xf numFmtId="0" fontId="143" fillId="0" borderId="0" xfId="0" applyFont="1" applyAlignment="1">
      <alignment vertical="top"/>
    </xf>
    <xf numFmtId="14" fontId="1" fillId="0" borderId="0" xfId="148" applyNumberFormat="1" applyFont="1">
      <alignment vertical="center"/>
    </xf>
    <xf numFmtId="0" fontId="169" fillId="0" borderId="0" xfId="0" applyFont="1">
      <alignment vertical="center"/>
    </xf>
    <xf numFmtId="0" fontId="169" fillId="0" borderId="51" xfId="0" applyFont="1" applyBorder="1">
      <alignment vertical="center"/>
    </xf>
    <xf numFmtId="0" fontId="164" fillId="0" borderId="156" xfId="0" applyFont="1" applyBorder="1" applyAlignment="1">
      <alignment vertical="center" wrapText="1"/>
    </xf>
    <xf numFmtId="0" fontId="164" fillId="0" borderId="157" xfId="0" applyFont="1" applyBorder="1" applyAlignment="1">
      <alignment vertical="center" wrapText="1"/>
    </xf>
    <xf numFmtId="0" fontId="0" fillId="0" borderId="156" xfId="0" applyBorder="1">
      <alignment vertical="center"/>
    </xf>
    <xf numFmtId="0" fontId="7" fillId="0" borderId="0" xfId="0" applyFont="1">
      <alignment vertical="center"/>
    </xf>
    <xf numFmtId="0" fontId="6" fillId="24" borderId="16" xfId="0" applyFont="1" applyFill="1" applyBorder="1" applyAlignment="1">
      <alignment horizontal="left" vertical="center" wrapText="1"/>
    </xf>
    <xf numFmtId="0" fontId="6" fillId="24" borderId="17" xfId="0" applyFont="1" applyFill="1" applyBorder="1" applyAlignment="1">
      <alignment horizontal="left" vertical="center" wrapText="1"/>
    </xf>
    <xf numFmtId="0" fontId="6" fillId="24" borderId="186" xfId="0" applyFont="1" applyFill="1" applyBorder="1" applyAlignment="1">
      <alignment horizontal="center" vertical="center" wrapText="1"/>
    </xf>
    <xf numFmtId="186" fontId="74" fillId="0" borderId="52" xfId="136" applyNumberFormat="1" applyFont="1" applyBorder="1" applyAlignment="1">
      <alignment horizontal="left" vertical="center"/>
    </xf>
    <xf numFmtId="49" fontId="154" fillId="49" borderId="13" xfId="0" applyNumberFormat="1" applyFont="1" applyFill="1" applyBorder="1" applyAlignment="1" applyProtection="1">
      <alignment horizontal="center" vertical="center"/>
      <protection locked="0"/>
    </xf>
    <xf numFmtId="49" fontId="159" fillId="45" borderId="13" xfId="0" applyNumberFormat="1" applyFont="1" applyFill="1" applyBorder="1" applyAlignment="1" applyProtection="1">
      <alignment horizontal="left" vertical="center" wrapText="1"/>
      <protection locked="0"/>
    </xf>
    <xf numFmtId="0" fontId="5" fillId="0" borderId="13"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49" fontId="152" fillId="49" borderId="13" xfId="0" applyNumberFormat="1" applyFont="1" applyFill="1" applyBorder="1" applyAlignment="1" applyProtection="1">
      <alignment horizontal="center" vertical="center" wrapText="1"/>
      <protection locked="0"/>
    </xf>
    <xf numFmtId="49" fontId="160" fillId="49" borderId="13" xfId="0" applyNumberFormat="1" applyFont="1" applyFill="1" applyBorder="1" applyAlignment="1" applyProtection="1">
      <alignment horizontal="center" vertical="center" wrapText="1"/>
      <protection locked="0"/>
    </xf>
    <xf numFmtId="0" fontId="5" fillId="0" borderId="11" xfId="0" applyFont="1" applyBorder="1" applyAlignment="1">
      <alignment horizontal="left" vertical="center" shrinkToFit="1"/>
    </xf>
    <xf numFmtId="0" fontId="5" fillId="0" borderId="0" xfId="0" applyFont="1" applyAlignment="1">
      <alignment horizontal="left" vertical="center" shrinkToFit="1"/>
    </xf>
    <xf numFmtId="0" fontId="25" fillId="0" borderId="0" xfId="2" applyAlignment="1">
      <alignment horizontal="center" vertical="center"/>
    </xf>
    <xf numFmtId="0" fontId="0" fillId="0" borderId="15" xfId="0" applyBorder="1" applyAlignment="1">
      <alignment horizontal="center" vertical="center"/>
    </xf>
    <xf numFmtId="49" fontId="160" fillId="49" borderId="13" xfId="0" applyNumberFormat="1" applyFont="1" applyFill="1" applyBorder="1" applyAlignment="1" applyProtection="1">
      <alignment horizontal="center" vertical="center"/>
      <protection locked="0"/>
    </xf>
    <xf numFmtId="49" fontId="168" fillId="49" borderId="0" xfId="2" applyNumberFormat="1" applyFont="1" applyFill="1" applyAlignment="1" applyProtection="1">
      <alignment horizontal="center" vertical="center" wrapText="1"/>
      <protection locked="0"/>
    </xf>
    <xf numFmtId="0" fontId="144" fillId="0" borderId="278" xfId="0" applyFont="1" applyBorder="1" applyAlignment="1">
      <alignment horizontal="center" vertical="center"/>
    </xf>
    <xf numFmtId="0" fontId="144" fillId="0" borderId="279" xfId="0" applyFont="1" applyBorder="1" applyAlignment="1">
      <alignment horizontal="center" vertical="center"/>
    </xf>
    <xf numFmtId="0" fontId="144" fillId="0" borderId="280" xfId="0" applyFont="1" applyBorder="1" applyAlignment="1">
      <alignment horizontal="center" vertical="center"/>
    </xf>
    <xf numFmtId="191" fontId="165" fillId="0" borderId="336" xfId="0" applyNumberFormat="1" applyFont="1" applyBorder="1" applyAlignment="1">
      <alignment horizontal="center" vertical="center" wrapText="1"/>
    </xf>
    <xf numFmtId="191" fontId="165" fillId="0" borderId="337" xfId="0" applyNumberFormat="1" applyFont="1" applyBorder="1" applyAlignment="1">
      <alignment horizontal="center" vertical="center" wrapText="1"/>
    </xf>
    <xf numFmtId="0" fontId="165" fillId="0" borderId="337" xfId="0" applyFont="1" applyBorder="1" applyAlignment="1">
      <alignment horizontal="center" vertical="center" wrapText="1"/>
    </xf>
    <xf numFmtId="0" fontId="165" fillId="0" borderId="338" xfId="0" applyFont="1" applyBorder="1" applyAlignment="1">
      <alignment horizontal="center" vertical="center" wrapText="1"/>
    </xf>
    <xf numFmtId="14" fontId="159" fillId="45" borderId="21" xfId="0" applyNumberFormat="1" applyFont="1" applyFill="1" applyBorder="1" applyAlignment="1" applyProtection="1">
      <alignment horizontal="center" vertical="center" wrapText="1"/>
      <protection locked="0"/>
    </xf>
    <xf numFmtId="14" fontId="159" fillId="45" borderId="49" xfId="0" applyNumberFormat="1" applyFont="1" applyFill="1" applyBorder="1" applyAlignment="1" applyProtection="1">
      <alignment horizontal="center" vertical="center" wrapText="1"/>
      <protection locked="0"/>
    </xf>
    <xf numFmtId="14" fontId="159" fillId="45" borderId="32" xfId="0" applyNumberFormat="1" applyFont="1" applyFill="1" applyBorder="1" applyAlignment="1" applyProtection="1">
      <alignment horizontal="center" vertical="center" wrapText="1"/>
      <protection locked="0"/>
    </xf>
    <xf numFmtId="0" fontId="141" fillId="0" borderId="10" xfId="0" applyFont="1" applyBorder="1" applyAlignment="1">
      <alignment horizontal="center" vertical="center" wrapText="1"/>
    </xf>
    <xf numFmtId="0" fontId="141" fillId="0" borderId="127" xfId="0" applyFont="1" applyBorder="1" applyAlignment="1">
      <alignment horizontal="center" vertical="center" wrapText="1"/>
    </xf>
    <xf numFmtId="0" fontId="141" fillId="0" borderId="14" xfId="0" applyFont="1" applyBorder="1" applyAlignment="1">
      <alignment horizontal="center" vertical="center" wrapText="1"/>
    </xf>
    <xf numFmtId="0" fontId="141" fillId="0" borderId="12" xfId="0" applyFont="1" applyBorder="1" applyAlignment="1">
      <alignment horizontal="center" vertical="center" wrapText="1"/>
    </xf>
    <xf numFmtId="0" fontId="141" fillId="0" borderId="51" xfId="0" applyFont="1" applyBorder="1" applyAlignment="1">
      <alignment horizontal="center" vertical="center" wrapText="1"/>
    </xf>
    <xf numFmtId="0" fontId="141" fillId="0" borderId="22" xfId="0" applyFont="1" applyBorder="1" applyAlignment="1">
      <alignment horizontal="center" vertical="center" wrapText="1"/>
    </xf>
    <xf numFmtId="0" fontId="141" fillId="0" borderId="0" xfId="0" applyFont="1" applyAlignment="1">
      <alignment horizontal="center" vertical="center" wrapText="1"/>
    </xf>
    <xf numFmtId="49" fontId="135" fillId="49" borderId="0" xfId="0" applyNumberFormat="1" applyFont="1" applyFill="1" applyAlignment="1" applyProtection="1">
      <alignment horizontal="left" vertical="top" wrapText="1" shrinkToFit="1"/>
      <protection locked="0"/>
    </xf>
    <xf numFmtId="49" fontId="155" fillId="49" borderId="0" xfId="0" applyNumberFormat="1" applyFont="1" applyFill="1" applyAlignment="1" applyProtection="1">
      <alignment horizontal="center" vertical="center" shrinkToFit="1"/>
      <protection locked="0"/>
    </xf>
    <xf numFmtId="0" fontId="146" fillId="0" borderId="0" xfId="0" applyFont="1" applyAlignment="1">
      <alignment horizontal="left" vertical="center" shrinkToFit="1"/>
    </xf>
    <xf numFmtId="49" fontId="5" fillId="49" borderId="51" xfId="0" applyNumberFormat="1" applyFont="1" applyFill="1" applyBorder="1" applyAlignment="1" applyProtection="1">
      <alignment horizontal="center" vertical="center"/>
      <protection locked="0"/>
    </xf>
    <xf numFmtId="49" fontId="157" fillId="49" borderId="0" xfId="0" applyNumberFormat="1" applyFont="1" applyFill="1" applyAlignment="1" applyProtection="1">
      <alignment horizontal="left" vertical="center" wrapText="1"/>
      <protection locked="0"/>
    </xf>
    <xf numFmtId="0" fontId="0" fillId="0" borderId="51" xfId="0" applyBorder="1" applyAlignment="1">
      <alignment horizontal="center" vertical="center"/>
    </xf>
    <xf numFmtId="0" fontId="5" fillId="0" borderId="159" xfId="0" applyFont="1" applyBorder="1" applyAlignment="1">
      <alignment horizontal="left" vertical="center" shrinkToFit="1"/>
    </xf>
    <xf numFmtId="0" fontId="5" fillId="0" borderId="183" xfId="0" applyFont="1" applyBorder="1" applyAlignment="1">
      <alignment horizontal="center" vertical="center"/>
    </xf>
    <xf numFmtId="0" fontId="5" fillId="0" borderId="182" xfId="0" applyFont="1" applyBorder="1" applyAlignment="1">
      <alignment horizontal="center" vertical="center"/>
    </xf>
    <xf numFmtId="0" fontId="5" fillId="0" borderId="181" xfId="0" applyFont="1" applyBorder="1" applyAlignment="1">
      <alignment horizontal="center" vertical="center"/>
    </xf>
    <xf numFmtId="0" fontId="5" fillId="0" borderId="51" xfId="0" applyFont="1" applyBorder="1" applyAlignment="1">
      <alignment horizontal="center" vertical="center" wrapText="1"/>
    </xf>
    <xf numFmtId="0" fontId="148" fillId="51" borderId="278" xfId="0" applyFont="1" applyFill="1" applyBorder="1" applyAlignment="1">
      <alignment horizontal="center" vertical="center"/>
    </xf>
    <xf numFmtId="0" fontId="148" fillId="51" borderId="279" xfId="0" applyFont="1" applyFill="1" applyBorder="1" applyAlignment="1">
      <alignment horizontal="center" vertical="center"/>
    </xf>
    <xf numFmtId="0" fontId="148" fillId="51" borderId="280" xfId="0" applyFont="1" applyFill="1" applyBorder="1" applyAlignment="1">
      <alignment horizontal="center" vertical="center"/>
    </xf>
    <xf numFmtId="0" fontId="5" fillId="0" borderId="150" xfId="0" applyFont="1" applyBorder="1" applyAlignment="1">
      <alignment horizontal="left" vertical="center" shrinkToFit="1"/>
    </xf>
    <xf numFmtId="0" fontId="140" fillId="0" borderId="0" xfId="0" applyFont="1" applyAlignment="1">
      <alignment horizontal="left" vertical="center" wrapText="1"/>
    </xf>
    <xf numFmtId="49" fontId="155" fillId="45" borderId="0" xfId="0" applyNumberFormat="1" applyFont="1" applyFill="1" applyAlignment="1" applyProtection="1">
      <alignment horizontal="center" vertical="center" shrinkToFit="1"/>
      <protection locked="0"/>
    </xf>
    <xf numFmtId="0" fontId="7" fillId="0" borderId="0" xfId="0" applyFont="1" applyAlignment="1">
      <alignment horizontal="center" vertical="center" shrinkToFit="1"/>
    </xf>
    <xf numFmtId="0" fontId="7" fillId="0" borderId="0" xfId="0" applyFont="1" applyAlignment="1">
      <alignment horizontal="left" vertical="center" shrinkToFit="1"/>
    </xf>
    <xf numFmtId="0" fontId="7" fillId="0" borderId="159" xfId="0" applyFont="1" applyBorder="1" applyAlignment="1">
      <alignment horizontal="left" vertical="center" shrinkToFit="1"/>
    </xf>
    <xf numFmtId="0" fontId="140" fillId="0" borderId="0" xfId="0" applyFont="1" applyAlignment="1">
      <alignment horizontal="left" vertical="center" shrinkToFit="1"/>
    </xf>
    <xf numFmtId="0" fontId="140" fillId="0" borderId="0" xfId="0" applyFont="1" applyAlignment="1">
      <alignment horizontal="left" shrinkToFit="1"/>
    </xf>
    <xf numFmtId="49" fontId="154" fillId="49" borderId="13" xfId="0" applyNumberFormat="1" applyFont="1" applyFill="1" applyBorder="1" applyAlignment="1" applyProtection="1">
      <alignment horizontal="center" vertical="center" wrapText="1"/>
      <protection locked="0"/>
    </xf>
    <xf numFmtId="0" fontId="141" fillId="0" borderId="0" xfId="0" applyFont="1" applyAlignment="1">
      <alignment horizontal="left" vertical="center"/>
    </xf>
    <xf numFmtId="0" fontId="0" fillId="0" borderId="0" xfId="0" applyAlignment="1">
      <alignment horizontal="right" vertical="center"/>
    </xf>
    <xf numFmtId="0" fontId="140" fillId="0" borderId="324" xfId="0" applyFont="1" applyBorder="1" applyAlignment="1">
      <alignment horizontal="center" vertical="center" wrapText="1"/>
    </xf>
    <xf numFmtId="0" fontId="140" fillId="0" borderId="226" xfId="0" applyFont="1" applyBorder="1" applyAlignment="1">
      <alignment horizontal="center" vertical="center" wrapText="1"/>
    </xf>
    <xf numFmtId="0" fontId="140" fillId="0" borderId="173" xfId="0" applyFont="1" applyBorder="1" applyAlignment="1">
      <alignment horizontal="center" vertical="center" wrapText="1"/>
    </xf>
    <xf numFmtId="0" fontId="140" fillId="0" borderId="0" xfId="0" applyFont="1" applyAlignment="1">
      <alignment horizontal="center" vertical="center" wrapText="1"/>
    </xf>
    <xf numFmtId="0" fontId="140" fillId="0" borderId="322" xfId="0" applyFont="1" applyBorder="1" applyAlignment="1">
      <alignment horizontal="center" vertical="center" wrapText="1"/>
    </xf>
    <xf numFmtId="0" fontId="140" fillId="0" borderId="227" xfId="0" applyFont="1" applyBorder="1" applyAlignment="1">
      <alignment horizontal="center" vertical="center" wrapText="1"/>
    </xf>
    <xf numFmtId="49" fontId="153" fillId="49" borderId="154" xfId="0" applyNumberFormat="1" applyFont="1" applyFill="1" applyBorder="1" applyAlignment="1" applyProtection="1">
      <alignment horizontal="center" vertical="center" shrinkToFit="1"/>
      <protection locked="0"/>
    </xf>
    <xf numFmtId="0" fontId="5" fillId="0" borderId="21" xfId="0" applyFont="1" applyBorder="1" applyAlignment="1">
      <alignment horizontal="center" vertical="center"/>
    </xf>
    <xf numFmtId="0" fontId="5" fillId="0" borderId="49" xfId="0" applyFont="1" applyBorder="1" applyAlignment="1">
      <alignment horizontal="center" vertical="center"/>
    </xf>
    <xf numFmtId="0" fontId="5" fillId="0" borderId="32" xfId="0" applyFont="1" applyBorder="1" applyAlignment="1">
      <alignment horizontal="center" vertical="center"/>
    </xf>
    <xf numFmtId="49" fontId="158" fillId="49" borderId="324" xfId="0" applyNumberFormat="1" applyFont="1" applyFill="1" applyBorder="1" applyAlignment="1" applyProtection="1">
      <alignment horizontal="left" vertical="top" wrapText="1"/>
      <protection locked="0"/>
    </xf>
    <xf numFmtId="49" fontId="158" fillId="49" borderId="226" xfId="0" applyNumberFormat="1" applyFont="1" applyFill="1" applyBorder="1" applyAlignment="1" applyProtection="1">
      <alignment horizontal="left" vertical="top" wrapText="1"/>
      <protection locked="0"/>
    </xf>
    <xf numFmtId="49" fontId="158" fillId="49" borderId="325" xfId="0" applyNumberFormat="1" applyFont="1" applyFill="1" applyBorder="1" applyAlignment="1" applyProtection="1">
      <alignment horizontal="left" vertical="top" wrapText="1"/>
      <protection locked="0"/>
    </xf>
    <xf numFmtId="49" fontId="158" fillId="49" borderId="173" xfId="0" applyNumberFormat="1" applyFont="1" applyFill="1" applyBorder="1" applyAlignment="1" applyProtection="1">
      <alignment horizontal="left" vertical="top" wrapText="1"/>
      <protection locked="0"/>
    </xf>
    <xf numFmtId="49" fontId="158" fillId="49" borderId="0" xfId="0" applyNumberFormat="1" applyFont="1" applyFill="1" applyAlignment="1" applyProtection="1">
      <alignment horizontal="left" vertical="top" wrapText="1"/>
      <protection locked="0"/>
    </xf>
    <xf numFmtId="49" fontId="158" fillId="49" borderId="321" xfId="0" applyNumberFormat="1" applyFont="1" applyFill="1" applyBorder="1" applyAlignment="1" applyProtection="1">
      <alignment horizontal="left" vertical="top" wrapText="1"/>
      <protection locked="0"/>
    </xf>
    <xf numFmtId="49" fontId="158" fillId="49" borderId="322" xfId="0" applyNumberFormat="1" applyFont="1" applyFill="1" applyBorder="1" applyAlignment="1" applyProtection="1">
      <alignment horizontal="left" vertical="top" wrapText="1"/>
      <protection locked="0"/>
    </xf>
    <xf numFmtId="49" fontId="158" fillId="49" borderId="227" xfId="0" applyNumberFormat="1" applyFont="1" applyFill="1" applyBorder="1" applyAlignment="1" applyProtection="1">
      <alignment horizontal="left" vertical="top" wrapText="1"/>
      <protection locked="0"/>
    </xf>
    <xf numFmtId="49" fontId="158" fillId="49" borderId="323" xfId="0" applyNumberFormat="1" applyFont="1" applyFill="1" applyBorder="1" applyAlignment="1" applyProtection="1">
      <alignment horizontal="left" vertical="top" wrapText="1"/>
      <protection locked="0"/>
    </xf>
    <xf numFmtId="49" fontId="153" fillId="49" borderId="51" xfId="0" applyNumberFormat="1" applyFont="1" applyFill="1" applyBorder="1" applyAlignment="1" applyProtection="1">
      <alignment horizontal="center" vertical="center" shrinkToFit="1"/>
      <protection locked="0"/>
    </xf>
    <xf numFmtId="0" fontId="48" fillId="0" borderId="0" xfId="120" applyFont="1" applyAlignment="1">
      <alignment horizontal="center" vertical="center"/>
    </xf>
    <xf numFmtId="0" fontId="49" fillId="0" borderId="0" xfId="121" applyFont="1" applyAlignment="1">
      <alignment horizontal="left" vertical="center"/>
    </xf>
    <xf numFmtId="186" fontId="47" fillId="0" borderId="52" xfId="120" applyNumberFormat="1" applyFont="1" applyBorder="1" applyAlignment="1">
      <alignment horizontal="left" vertical="center"/>
    </xf>
    <xf numFmtId="0" fontId="49" fillId="0" borderId="187" xfId="123" applyFont="1" applyBorder="1" applyAlignment="1">
      <alignment horizontal="center" vertical="center"/>
    </xf>
    <xf numFmtId="0" fontId="49" fillId="0" borderId="188" xfId="123" applyFont="1" applyBorder="1" applyAlignment="1">
      <alignment horizontal="center" vertical="center"/>
    </xf>
    <xf numFmtId="0" fontId="49" fillId="0" borderId="189" xfId="123" applyFont="1" applyBorder="1" applyAlignment="1">
      <alignment horizontal="center" vertical="center"/>
    </xf>
    <xf numFmtId="0" fontId="49" fillId="0" borderId="190" xfId="123" applyFont="1" applyBorder="1" applyAlignment="1">
      <alignment horizontal="center" vertical="center"/>
    </xf>
    <xf numFmtId="0" fontId="49" fillId="0" borderId="0" xfId="123" applyFont="1" applyAlignment="1">
      <alignment horizontal="center" vertical="center"/>
    </xf>
    <xf numFmtId="0" fontId="49" fillId="0" borderId="191" xfId="123" applyFont="1" applyBorder="1" applyAlignment="1">
      <alignment horizontal="center" vertical="center"/>
    </xf>
    <xf numFmtId="0" fontId="49" fillId="0" borderId="192" xfId="123" applyFont="1" applyBorder="1" applyAlignment="1">
      <alignment horizontal="center" vertical="center"/>
    </xf>
    <xf numFmtId="0" fontId="49" fillId="0" borderId="193" xfId="123" applyFont="1" applyBorder="1" applyAlignment="1">
      <alignment horizontal="center" vertical="center"/>
    </xf>
    <xf numFmtId="0" fontId="49" fillId="0" borderId="194" xfId="123" applyFont="1" applyBorder="1" applyAlignment="1">
      <alignment horizontal="center" vertical="center"/>
    </xf>
    <xf numFmtId="0" fontId="49" fillId="0" borderId="187" xfId="123" applyFont="1" applyBorder="1" applyAlignment="1">
      <alignment horizontal="left" vertical="center"/>
    </xf>
    <xf numFmtId="0" fontId="49" fillId="0" borderId="188" xfId="123" applyFont="1" applyBorder="1" applyAlignment="1">
      <alignment horizontal="left" vertical="center"/>
    </xf>
    <xf numFmtId="0" fontId="49" fillId="0" borderId="190" xfId="123" applyFont="1" applyBorder="1" applyAlignment="1">
      <alignment horizontal="left" vertical="center"/>
    </xf>
    <xf numFmtId="0" fontId="49" fillId="0" borderId="0" xfId="123" applyFont="1" applyAlignment="1">
      <alignment horizontal="left" vertical="center"/>
    </xf>
    <xf numFmtId="0" fontId="49" fillId="32" borderId="188" xfId="123" applyFont="1" applyFill="1" applyBorder="1" applyAlignment="1" applyProtection="1">
      <alignment horizontal="left" vertical="center"/>
      <protection locked="0"/>
    </xf>
    <xf numFmtId="0" fontId="49" fillId="32" borderId="0" xfId="123" applyFont="1" applyFill="1" applyAlignment="1" applyProtection="1">
      <alignment horizontal="left" vertical="center"/>
      <protection locked="0"/>
    </xf>
    <xf numFmtId="0" fontId="60" fillId="0" borderId="188" xfId="123" applyFont="1" applyBorder="1" applyAlignment="1">
      <alignment horizontal="left" vertical="center" indent="1"/>
    </xf>
    <xf numFmtId="0" fontId="60" fillId="0" borderId="189" xfId="123" applyFont="1" applyBorder="1" applyAlignment="1">
      <alignment horizontal="left" vertical="center" indent="1"/>
    </xf>
    <xf numFmtId="0" fontId="60" fillId="0" borderId="0" xfId="123" applyFont="1" applyAlignment="1">
      <alignment horizontal="left" vertical="center" indent="1"/>
    </xf>
    <xf numFmtId="0" fontId="60" fillId="0" borderId="191" xfId="123" applyFont="1" applyBorder="1" applyAlignment="1">
      <alignment horizontal="left" vertical="center" indent="1"/>
    </xf>
    <xf numFmtId="0" fontId="49" fillId="0" borderId="195" xfId="123" applyFont="1" applyBorder="1" applyAlignment="1">
      <alignment horizontal="left" vertical="center"/>
    </xf>
    <xf numFmtId="0" fontId="49" fillId="0" borderId="182" xfId="123" applyFont="1" applyBorder="1" applyAlignment="1">
      <alignment horizontal="left" vertical="center"/>
    </xf>
    <xf numFmtId="0" fontId="49" fillId="32" borderId="182" xfId="123" applyFont="1" applyFill="1" applyBorder="1" applyAlignment="1" applyProtection="1">
      <alignment horizontal="left" vertical="center"/>
      <protection locked="0"/>
    </xf>
    <xf numFmtId="0" fontId="60" fillId="0" borderId="182" xfId="123" applyFont="1" applyBorder="1" applyAlignment="1">
      <alignment horizontal="left" vertical="center" indent="1"/>
    </xf>
    <xf numFmtId="0" fontId="60" fillId="0" borderId="196" xfId="123" applyFont="1" applyBorder="1" applyAlignment="1">
      <alignment horizontal="left" vertical="center" indent="1"/>
    </xf>
    <xf numFmtId="0" fontId="57" fillId="0" borderId="0" xfId="123" applyFont="1" applyAlignment="1">
      <alignment horizontal="center" vertical="center"/>
    </xf>
    <xf numFmtId="0" fontId="53" fillId="0" borderId="197" xfId="122" applyBorder="1" applyAlignment="1">
      <alignment horizontal="center" vertical="center"/>
    </xf>
    <xf numFmtId="0" fontId="53" fillId="0" borderId="198" xfId="122" applyBorder="1" applyAlignment="1">
      <alignment horizontal="center" vertical="center"/>
    </xf>
    <xf numFmtId="0" fontId="53" fillId="0" borderId="199" xfId="122" applyBorder="1" applyAlignment="1">
      <alignment horizontal="center" vertical="center"/>
    </xf>
    <xf numFmtId="0" fontId="53" fillId="0" borderId="200" xfId="122" applyBorder="1" applyAlignment="1">
      <alignment horizontal="center" vertical="center"/>
    </xf>
    <xf numFmtId="0" fontId="53" fillId="0" borderId="0" xfId="122" applyAlignment="1">
      <alignment horizontal="center" vertical="center"/>
    </xf>
    <xf numFmtId="0" fontId="53" fillId="0" borderId="201" xfId="122" applyBorder="1" applyAlignment="1">
      <alignment horizontal="center" vertical="center"/>
    </xf>
    <xf numFmtId="0" fontId="53" fillId="0" borderId="202" xfId="122" applyBorder="1" applyAlignment="1">
      <alignment horizontal="center" vertical="center"/>
    </xf>
    <xf numFmtId="0" fontId="53" fillId="0" borderId="203" xfId="122" applyBorder="1" applyAlignment="1">
      <alignment horizontal="center" vertical="center"/>
    </xf>
    <xf numFmtId="0" fontId="53" fillId="0" borderId="204" xfId="122" applyBorder="1" applyAlignment="1">
      <alignment horizontal="center" vertical="center"/>
    </xf>
    <xf numFmtId="0" fontId="49" fillId="0" borderId="205" xfId="123" applyFont="1" applyBorder="1" applyAlignment="1">
      <alignment horizontal="center" vertical="center"/>
    </xf>
    <xf numFmtId="0" fontId="49" fillId="0" borderId="206" xfId="123" applyFont="1" applyBorder="1" applyAlignment="1">
      <alignment horizontal="center" vertical="center"/>
    </xf>
    <xf numFmtId="0" fontId="49" fillId="0" borderId="207" xfId="123" applyFont="1" applyBorder="1" applyAlignment="1">
      <alignment horizontal="center" vertical="center"/>
    </xf>
    <xf numFmtId="0" fontId="49" fillId="0" borderId="208" xfId="123" applyFont="1" applyBorder="1" applyAlignment="1">
      <alignment horizontal="center" vertical="center"/>
    </xf>
    <xf numFmtId="0" fontId="49" fillId="0" borderId="209" xfId="123" applyFont="1" applyBorder="1" applyAlignment="1">
      <alignment horizontal="center" vertical="center"/>
    </xf>
    <xf numFmtId="0" fontId="49" fillId="0" borderId="210" xfId="123" applyFont="1" applyBorder="1" applyAlignment="1">
      <alignment horizontal="center" vertical="center"/>
    </xf>
    <xf numFmtId="0" fontId="49" fillId="0" borderId="211" xfId="123" applyFont="1" applyBorder="1" applyAlignment="1">
      <alignment horizontal="center" vertical="center"/>
    </xf>
    <xf numFmtId="0" fontId="49" fillId="0" borderId="212" xfId="123" applyFont="1" applyBorder="1" applyAlignment="1">
      <alignment horizontal="center" vertical="center"/>
    </xf>
    <xf numFmtId="0" fontId="58" fillId="0" borderId="197" xfId="124" applyBorder="1" applyAlignment="1">
      <alignment horizontal="center" vertical="center"/>
    </xf>
    <xf numFmtId="0" fontId="58" fillId="0" borderId="198" xfId="124" applyBorder="1" applyAlignment="1">
      <alignment horizontal="center" vertical="center"/>
    </xf>
    <xf numFmtId="0" fontId="58" fillId="0" borderId="199" xfId="124" applyBorder="1" applyAlignment="1">
      <alignment horizontal="center" vertical="center"/>
    </xf>
    <xf numFmtId="0" fontId="58" fillId="0" borderId="200" xfId="124" applyBorder="1" applyAlignment="1">
      <alignment horizontal="center" vertical="center"/>
    </xf>
    <xf numFmtId="0" fontId="58" fillId="0" borderId="0" xfId="124" applyAlignment="1">
      <alignment horizontal="center" vertical="center"/>
    </xf>
    <xf numFmtId="0" fontId="58" fillId="0" borderId="201" xfId="124" applyBorder="1" applyAlignment="1">
      <alignment horizontal="center" vertical="center"/>
    </xf>
    <xf numFmtId="0" fontId="58" fillId="0" borderId="202" xfId="124" applyBorder="1" applyAlignment="1">
      <alignment horizontal="center" vertical="center"/>
    </xf>
    <xf numFmtId="0" fontId="58" fillId="0" borderId="203" xfId="124" applyBorder="1" applyAlignment="1">
      <alignment horizontal="center" vertical="center"/>
    </xf>
    <xf numFmtId="0" fontId="58" fillId="0" borderId="204" xfId="124" applyBorder="1" applyAlignment="1">
      <alignment horizontal="center" vertical="center"/>
    </xf>
    <xf numFmtId="0" fontId="49" fillId="0" borderId="213" xfId="123" applyFont="1" applyBorder="1" applyAlignment="1">
      <alignment horizontal="left" vertical="center"/>
    </xf>
    <xf numFmtId="0" fontId="49" fillId="32" borderId="213" xfId="123" applyFont="1" applyFill="1" applyBorder="1" applyAlignment="1" applyProtection="1">
      <alignment horizontal="left" vertical="center"/>
      <protection locked="0"/>
    </xf>
    <xf numFmtId="49" fontId="49" fillId="32" borderId="182" xfId="123" applyNumberFormat="1" applyFont="1" applyFill="1" applyBorder="1" applyAlignment="1" applyProtection="1">
      <alignment horizontal="left" vertical="center"/>
      <protection locked="0"/>
    </xf>
    <xf numFmtId="0" fontId="53" fillId="41" borderId="214" xfId="122" applyFill="1" applyBorder="1" applyAlignment="1">
      <alignment horizontal="left" vertical="center"/>
    </xf>
    <xf numFmtId="0" fontId="53" fillId="41" borderId="215" xfId="122" applyFill="1" applyBorder="1" applyAlignment="1">
      <alignment horizontal="left" vertical="center"/>
    </xf>
    <xf numFmtId="0" fontId="53" fillId="41" borderId="216" xfId="122" applyFill="1" applyBorder="1" applyAlignment="1">
      <alignment horizontal="left" vertical="center"/>
    </xf>
    <xf numFmtId="0" fontId="53" fillId="41" borderId="55" xfId="122" applyFill="1" applyBorder="1" applyAlignment="1">
      <alignment horizontal="left" vertical="center"/>
    </xf>
    <xf numFmtId="0" fontId="53" fillId="41" borderId="217" xfId="122" applyFill="1" applyBorder="1" applyAlignment="1">
      <alignment horizontal="left" vertical="center"/>
    </xf>
    <xf numFmtId="0" fontId="53" fillId="41" borderId="218" xfId="122" applyFill="1" applyBorder="1" applyAlignment="1">
      <alignment horizontal="left" vertical="center"/>
    </xf>
    <xf numFmtId="0" fontId="61" fillId="0" borderId="0" xfId="123" applyFont="1" applyAlignment="1">
      <alignment horizontal="left" vertical="center"/>
    </xf>
    <xf numFmtId="0" fontId="49" fillId="0" borderId="192" xfId="123" applyFont="1" applyBorder="1" applyAlignment="1">
      <alignment horizontal="left" vertical="center"/>
    </xf>
    <xf numFmtId="0" fontId="49" fillId="0" borderId="193" xfId="123" applyFont="1" applyBorder="1" applyAlignment="1">
      <alignment horizontal="left" vertical="center"/>
    </xf>
    <xf numFmtId="49" fontId="53" fillId="32" borderId="0" xfId="122" applyNumberFormat="1" applyFill="1" applyAlignment="1" applyProtection="1">
      <alignment horizontal="left" vertical="center"/>
      <protection locked="0"/>
    </xf>
    <xf numFmtId="49" fontId="49" fillId="32" borderId="0" xfId="123" applyNumberFormat="1" applyFont="1" applyFill="1" applyAlignment="1" applyProtection="1">
      <alignment horizontal="left" vertical="center"/>
      <protection locked="0"/>
    </xf>
    <xf numFmtId="49" fontId="49" fillId="32" borderId="193" xfId="123" applyNumberFormat="1" applyFont="1" applyFill="1" applyBorder="1" applyAlignment="1" applyProtection="1">
      <alignment horizontal="left" vertical="center"/>
      <protection locked="0"/>
    </xf>
    <xf numFmtId="0" fontId="60" fillId="0" borderId="219" xfId="123" applyFont="1" applyBorder="1" applyAlignment="1">
      <alignment horizontal="left" vertical="center" indent="1"/>
    </xf>
    <xf numFmtId="0" fontId="60" fillId="0" borderId="220" xfId="123" applyFont="1" applyBorder="1" applyAlignment="1">
      <alignment horizontal="left" vertical="center" indent="1"/>
    </xf>
    <xf numFmtId="0" fontId="58" fillId="41" borderId="214" xfId="124" applyFill="1" applyBorder="1" applyAlignment="1">
      <alignment horizontal="left" vertical="center"/>
    </xf>
    <xf numFmtId="0" fontId="58" fillId="41" borderId="215" xfId="124" applyFill="1" applyBorder="1" applyAlignment="1">
      <alignment horizontal="left" vertical="center"/>
    </xf>
    <xf numFmtId="0" fontId="58" fillId="41" borderId="216" xfId="124" applyFill="1" applyBorder="1" applyAlignment="1">
      <alignment horizontal="left" vertical="center"/>
    </xf>
    <xf numFmtId="0" fontId="58" fillId="41" borderId="55" xfId="124" applyFill="1" applyBorder="1" applyAlignment="1">
      <alignment horizontal="left" vertical="center"/>
    </xf>
    <xf numFmtId="0" fontId="58" fillId="41" borderId="217" xfId="124" applyFill="1" applyBorder="1" applyAlignment="1">
      <alignment horizontal="left" vertical="center"/>
    </xf>
    <xf numFmtId="0" fontId="58" fillId="41" borderId="218" xfId="124" applyFill="1" applyBorder="1" applyAlignment="1">
      <alignment horizontal="left" vertical="center"/>
    </xf>
    <xf numFmtId="0" fontId="45" fillId="0" borderId="214" xfId="123" applyBorder="1">
      <alignment vertical="center"/>
    </xf>
    <xf numFmtId="0" fontId="45" fillId="0" borderId="215" xfId="123" applyBorder="1">
      <alignment vertical="center"/>
    </xf>
    <xf numFmtId="0" fontId="45" fillId="0" borderId="216" xfId="123" applyBorder="1">
      <alignment vertical="center"/>
    </xf>
    <xf numFmtId="0" fontId="45" fillId="0" borderId="55" xfId="123" applyBorder="1">
      <alignment vertical="center"/>
    </xf>
    <xf numFmtId="0" fontId="45" fillId="0" borderId="217" xfId="123" applyBorder="1">
      <alignment vertical="center"/>
    </xf>
    <xf numFmtId="0" fontId="45" fillId="0" borderId="218" xfId="123" applyBorder="1">
      <alignment vertical="center"/>
    </xf>
    <xf numFmtId="0" fontId="49" fillId="0" borderId="221" xfId="123" applyFont="1" applyBorder="1" applyAlignment="1">
      <alignment horizontal="left" vertical="center"/>
    </xf>
    <xf numFmtId="0" fontId="49" fillId="0" borderId="222" xfId="123" applyFont="1" applyBorder="1" applyAlignment="1">
      <alignment horizontal="left" vertical="center"/>
    </xf>
    <xf numFmtId="0" fontId="49" fillId="0" borderId="223" xfId="123" applyFont="1" applyBorder="1" applyAlignment="1">
      <alignment horizontal="left" vertical="center"/>
    </xf>
    <xf numFmtId="176" fontId="49" fillId="32" borderId="222" xfId="123" applyNumberFormat="1" applyFont="1" applyFill="1" applyBorder="1" applyAlignment="1" applyProtection="1">
      <alignment horizontal="left" vertical="center"/>
      <protection locked="0"/>
    </xf>
    <xf numFmtId="176" fontId="49" fillId="32" borderId="182" xfId="123" applyNumberFormat="1" applyFont="1" applyFill="1" applyBorder="1" applyAlignment="1" applyProtection="1">
      <alignment horizontal="left" vertical="center"/>
      <protection locked="0"/>
    </xf>
    <xf numFmtId="0" fontId="60" fillId="0" borderId="222" xfId="123" applyFont="1" applyBorder="1" applyAlignment="1">
      <alignment horizontal="left" vertical="center" indent="1"/>
    </xf>
    <xf numFmtId="0" fontId="60" fillId="0" borderId="224" xfId="123" applyFont="1" applyBorder="1" applyAlignment="1">
      <alignment horizontal="left" vertical="center" indent="1"/>
    </xf>
    <xf numFmtId="0" fontId="60" fillId="0" borderId="225" xfId="123" applyFont="1" applyBorder="1" applyAlignment="1">
      <alignment horizontal="left" vertical="center" indent="1"/>
    </xf>
    <xf numFmtId="0" fontId="49" fillId="41" borderId="182" xfId="123" applyFont="1" applyFill="1" applyBorder="1" applyAlignment="1" applyProtection="1">
      <alignment horizontal="left" vertical="center"/>
      <protection locked="0"/>
    </xf>
    <xf numFmtId="0" fontId="49" fillId="0" borderId="223" xfId="123" applyFont="1" applyBorder="1" applyAlignment="1">
      <alignment horizontal="right" vertical="center"/>
    </xf>
    <xf numFmtId="0" fontId="49" fillId="0" borderId="182" xfId="123" applyFont="1" applyBorder="1" applyAlignment="1">
      <alignment horizontal="right" vertical="center"/>
    </xf>
    <xf numFmtId="0" fontId="49" fillId="0" borderId="226" xfId="123" applyFont="1" applyBorder="1" applyAlignment="1" applyProtection="1">
      <alignment horizontal="center" vertical="center"/>
      <protection locked="0"/>
    </xf>
    <xf numFmtId="0" fontId="49" fillId="0" borderId="227" xfId="123" applyFont="1" applyBorder="1" applyAlignment="1" applyProtection="1">
      <alignment horizontal="center" vertical="center"/>
      <protection locked="0"/>
    </xf>
    <xf numFmtId="0" fontId="49" fillId="32" borderId="226" xfId="123" applyFont="1" applyFill="1" applyBorder="1" applyAlignment="1" applyProtection="1">
      <alignment horizontal="left" vertical="center"/>
      <protection locked="0"/>
    </xf>
    <xf numFmtId="0" fontId="49" fillId="32" borderId="227" xfId="123" applyFont="1" applyFill="1" applyBorder="1" applyAlignment="1" applyProtection="1">
      <alignment horizontal="left" vertical="center"/>
      <protection locked="0"/>
    </xf>
    <xf numFmtId="0" fontId="61" fillId="0" borderId="0" xfId="123" applyFont="1" applyAlignment="1">
      <alignment horizontal="left" vertical="center" wrapText="1"/>
    </xf>
    <xf numFmtId="0" fontId="53" fillId="45" borderId="58" xfId="122" applyFill="1" applyBorder="1" applyAlignment="1">
      <alignment horizontal="left" vertical="center"/>
    </xf>
    <xf numFmtId="0" fontId="53" fillId="45" borderId="228" xfId="122" applyFill="1" applyBorder="1" applyAlignment="1">
      <alignment horizontal="left" vertical="center"/>
    </xf>
    <xf numFmtId="0" fontId="53" fillId="45" borderId="229" xfId="122" applyFill="1" applyBorder="1" applyAlignment="1">
      <alignment horizontal="left" vertical="center"/>
    </xf>
    <xf numFmtId="0" fontId="53" fillId="45" borderId="59" xfId="122" applyFill="1" applyBorder="1" applyAlignment="1">
      <alignment horizontal="left" vertical="center"/>
    </xf>
    <xf numFmtId="0" fontId="53" fillId="45" borderId="230" xfId="122" applyFill="1" applyBorder="1" applyAlignment="1">
      <alignment horizontal="left" vertical="center"/>
    </xf>
    <xf numFmtId="0" fontId="53" fillId="45" borderId="231" xfId="122" applyFill="1" applyBorder="1" applyAlignment="1">
      <alignment horizontal="left" vertical="center"/>
    </xf>
    <xf numFmtId="0" fontId="49" fillId="0" borderId="182" xfId="123" applyFont="1" applyBorder="1" applyAlignment="1">
      <alignment horizontal="center" vertical="center"/>
    </xf>
    <xf numFmtId="0" fontId="49" fillId="0" borderId="232" xfId="123" applyFont="1" applyBorder="1" applyAlignment="1">
      <alignment horizontal="center" vertical="center"/>
    </xf>
    <xf numFmtId="0" fontId="49" fillId="0" borderId="233" xfId="123" applyFont="1" applyBorder="1" applyAlignment="1">
      <alignment horizontal="center" vertical="center"/>
    </xf>
    <xf numFmtId="0" fontId="49" fillId="0" borderId="234" xfId="123" applyFont="1" applyBorder="1" applyAlignment="1">
      <alignment horizontal="center" vertical="center"/>
    </xf>
    <xf numFmtId="0" fontId="49" fillId="0" borderId="235" xfId="123" applyFont="1" applyBorder="1" applyAlignment="1">
      <alignment horizontal="center" vertical="center"/>
    </xf>
    <xf numFmtId="0" fontId="49" fillId="0" borderId="236" xfId="123" applyFont="1" applyBorder="1" applyAlignment="1">
      <alignment horizontal="center" vertical="center"/>
    </xf>
    <xf numFmtId="0" fontId="49" fillId="0" borderId="237" xfId="123" applyFont="1" applyBorder="1" applyAlignment="1">
      <alignment horizontal="center" vertical="center"/>
    </xf>
    <xf numFmtId="0" fontId="49" fillId="0" borderId="238" xfId="123" applyFont="1" applyBorder="1" applyAlignment="1">
      <alignment horizontal="center" vertical="center"/>
    </xf>
    <xf numFmtId="0" fontId="49" fillId="0" borderId="239" xfId="123" applyFont="1" applyBorder="1" applyAlignment="1">
      <alignment horizontal="center" vertical="center"/>
    </xf>
    <xf numFmtId="0" fontId="63" fillId="0" borderId="0" xfId="123" applyFont="1" applyAlignment="1">
      <alignment horizontal="left" vertical="center"/>
    </xf>
    <xf numFmtId="0" fontId="58" fillId="41" borderId="240" xfId="124" applyFill="1" applyBorder="1" applyAlignment="1">
      <alignment horizontal="left" vertical="center"/>
    </xf>
    <xf numFmtId="0" fontId="58" fillId="41" borderId="241" xfId="124" applyFill="1" applyBorder="1" applyAlignment="1">
      <alignment horizontal="left" vertical="center"/>
    </xf>
    <xf numFmtId="0" fontId="58" fillId="41" borderId="242" xfId="124" applyFill="1" applyBorder="1" applyAlignment="1">
      <alignment horizontal="left" vertical="center"/>
    </xf>
    <xf numFmtId="0" fontId="58" fillId="41" borderId="243" xfId="124" applyFill="1" applyBorder="1" applyAlignment="1">
      <alignment horizontal="left" vertical="center"/>
    </xf>
    <xf numFmtId="0" fontId="58" fillId="41" borderId="244" xfId="124" applyFill="1" applyBorder="1" applyAlignment="1">
      <alignment horizontal="left" vertical="center"/>
    </xf>
    <xf numFmtId="0" fontId="58" fillId="41" borderId="245" xfId="124" applyFill="1" applyBorder="1" applyAlignment="1">
      <alignment horizontal="left" vertical="center"/>
    </xf>
    <xf numFmtId="0" fontId="49" fillId="0" borderId="246" xfId="123" applyFont="1" applyBorder="1" applyAlignment="1">
      <alignment horizontal="left" vertical="center"/>
    </xf>
    <xf numFmtId="0" fontId="49" fillId="0" borderId="247" xfId="123" applyFont="1" applyBorder="1" applyAlignment="1">
      <alignment horizontal="left" vertical="center"/>
    </xf>
    <xf numFmtId="0" fontId="49" fillId="32" borderId="247" xfId="123" applyFont="1" applyFill="1" applyBorder="1" applyAlignment="1" applyProtection="1">
      <alignment horizontal="left" vertical="center"/>
      <protection locked="0"/>
    </xf>
    <xf numFmtId="0" fontId="60" fillId="0" borderId="247" xfId="123" applyFont="1" applyBorder="1" applyAlignment="1">
      <alignment horizontal="left" vertical="center" indent="1"/>
    </xf>
    <xf numFmtId="0" fontId="60" fillId="0" borderId="248" xfId="123" applyFont="1" applyBorder="1" applyAlignment="1">
      <alignment horizontal="left" vertical="center" indent="1"/>
    </xf>
    <xf numFmtId="0" fontId="49" fillId="0" borderId="249" xfId="123" applyFont="1" applyBorder="1" applyAlignment="1">
      <alignment horizontal="center" vertical="center"/>
    </xf>
    <xf numFmtId="0" fontId="49" fillId="0" borderId="250" xfId="123" applyFont="1" applyBorder="1" applyAlignment="1">
      <alignment horizontal="center" vertical="center"/>
    </xf>
    <xf numFmtId="0" fontId="49" fillId="0" borderId="251" xfId="123" applyFont="1" applyBorder="1" applyAlignment="1">
      <alignment horizontal="center" vertical="center"/>
    </xf>
    <xf numFmtId="0" fontId="49" fillId="0" borderId="252" xfId="123" applyFont="1" applyBorder="1" applyAlignment="1">
      <alignment horizontal="center" vertical="center"/>
    </xf>
    <xf numFmtId="0" fontId="49" fillId="0" borderId="253" xfId="123" applyFont="1" applyBorder="1" applyAlignment="1">
      <alignment horizontal="center" vertical="center"/>
    </xf>
    <xf numFmtId="0" fontId="49" fillId="0" borderId="254" xfId="123" applyFont="1" applyBorder="1" applyAlignment="1">
      <alignment horizontal="center" vertical="center"/>
    </xf>
    <xf numFmtId="0" fontId="49" fillId="0" borderId="255" xfId="123" applyFont="1" applyBorder="1" applyAlignment="1">
      <alignment horizontal="center" vertical="center"/>
    </xf>
    <xf numFmtId="0" fontId="49" fillId="0" borderId="256" xfId="123" applyFont="1" applyBorder="1" applyAlignment="1">
      <alignment horizontal="center" vertical="center"/>
    </xf>
    <xf numFmtId="0" fontId="53" fillId="32" borderId="182" xfId="122" applyFill="1" applyBorder="1" applyAlignment="1" applyProtection="1">
      <alignment horizontal="left" vertical="center"/>
      <protection locked="0"/>
    </xf>
    <xf numFmtId="0" fontId="49" fillId="0" borderId="223" xfId="123" applyFont="1" applyBorder="1" applyAlignment="1">
      <alignment horizontal="right" vertical="center" shrinkToFit="1"/>
    </xf>
    <xf numFmtId="0" fontId="49" fillId="0" borderId="182" xfId="123" applyFont="1" applyBorder="1" applyAlignment="1">
      <alignment horizontal="right" vertical="center" shrinkToFit="1"/>
    </xf>
    <xf numFmtId="0" fontId="49" fillId="0" borderId="246" xfId="123" applyFont="1" applyBorder="1" applyAlignment="1">
      <alignment horizontal="right" vertical="center" shrinkToFit="1"/>
    </xf>
    <xf numFmtId="0" fontId="49" fillId="0" borderId="247" xfId="123" applyFont="1" applyBorder="1" applyAlignment="1">
      <alignment horizontal="right" vertical="center" shrinkToFit="1"/>
    </xf>
    <xf numFmtId="176" fontId="49" fillId="32" borderId="247" xfId="123" applyNumberFormat="1" applyFont="1" applyFill="1" applyBorder="1" applyAlignment="1" applyProtection="1">
      <alignment horizontal="left" vertical="center"/>
      <protection locked="0"/>
    </xf>
    <xf numFmtId="0" fontId="49" fillId="0" borderId="257" xfId="123" applyFont="1" applyBorder="1" applyAlignment="1">
      <alignment horizontal="left" vertical="center"/>
    </xf>
    <xf numFmtId="0" fontId="49" fillId="0" borderId="60" xfId="123" applyFont="1" applyBorder="1" applyAlignment="1">
      <alignment horizontal="left" vertical="center"/>
    </xf>
    <xf numFmtId="0" fontId="49" fillId="0" borderId="258" xfId="123" applyFont="1" applyBorder="1" applyAlignment="1">
      <alignment horizontal="left" vertical="center"/>
    </xf>
    <xf numFmtId="0" fontId="49" fillId="0" borderId="227" xfId="123" applyFont="1" applyBorder="1" applyAlignment="1">
      <alignment horizontal="left" vertical="center"/>
    </xf>
    <xf numFmtId="0" fontId="49" fillId="0" borderId="257" xfId="123" applyFont="1" applyBorder="1" applyAlignment="1">
      <alignment horizontal="center" vertical="center"/>
    </xf>
    <xf numFmtId="0" fontId="49" fillId="0" borderId="60" xfId="123" applyFont="1" applyBorder="1" applyAlignment="1">
      <alignment horizontal="center" vertical="center"/>
    </xf>
    <xf numFmtId="0" fontId="49" fillId="0" borderId="61" xfId="123" applyFont="1" applyBorder="1" applyAlignment="1">
      <alignment horizontal="center" vertical="center"/>
    </xf>
    <xf numFmtId="0" fontId="49" fillId="0" borderId="259" xfId="123" applyFont="1" applyBorder="1" applyAlignment="1">
      <alignment horizontal="center" vertical="center"/>
    </xf>
    <xf numFmtId="0" fontId="49" fillId="0" borderId="62" xfId="123" applyFont="1" applyBorder="1" applyAlignment="1">
      <alignment horizontal="center" vertical="center"/>
    </xf>
    <xf numFmtId="0" fontId="49" fillId="0" borderId="260" xfId="123" applyFont="1" applyBorder="1" applyAlignment="1">
      <alignment horizontal="center" vertical="center"/>
    </xf>
    <xf numFmtId="0" fontId="49" fillId="0" borderId="261" xfId="123" applyFont="1" applyBorder="1" applyAlignment="1">
      <alignment horizontal="center" vertical="center"/>
    </xf>
    <xf numFmtId="0" fontId="49" fillId="0" borderId="262" xfId="123" applyFont="1" applyBorder="1" applyAlignment="1">
      <alignment horizontal="center" vertical="center"/>
    </xf>
    <xf numFmtId="0" fontId="58" fillId="50" borderId="65" xfId="124" applyFill="1" applyBorder="1" applyAlignment="1">
      <alignment horizontal="left" vertical="center"/>
    </xf>
    <xf numFmtId="0" fontId="58" fillId="50" borderId="263" xfId="124" applyFill="1" applyBorder="1" applyAlignment="1">
      <alignment horizontal="left" vertical="center"/>
    </xf>
    <xf numFmtId="0" fontId="58" fillId="50" borderId="67" xfId="124" applyFill="1" applyBorder="1" applyAlignment="1">
      <alignment horizontal="left" vertical="center"/>
    </xf>
    <xf numFmtId="0" fontId="58" fillId="50" borderId="66" xfId="124" applyFill="1" applyBorder="1" applyAlignment="1">
      <alignment horizontal="left" vertical="center"/>
    </xf>
    <xf numFmtId="0" fontId="58" fillId="50" borderId="264" xfId="124" applyFill="1" applyBorder="1" applyAlignment="1">
      <alignment horizontal="left" vertical="center"/>
    </xf>
    <xf numFmtId="0" fontId="58" fillId="50" borderId="265" xfId="124" applyFill="1" applyBorder="1" applyAlignment="1">
      <alignment horizontal="left" vertical="center"/>
    </xf>
    <xf numFmtId="0" fontId="65" fillId="0" borderId="0" xfId="123" applyFont="1" applyAlignment="1">
      <alignment horizontal="left" vertical="center"/>
    </xf>
    <xf numFmtId="0" fontId="53" fillId="50" borderId="65" xfId="122" applyFill="1" applyBorder="1" applyAlignment="1">
      <alignment horizontal="left" vertical="center"/>
    </xf>
    <xf numFmtId="0" fontId="53" fillId="50" borderId="263" xfId="122" applyFill="1" applyBorder="1" applyAlignment="1">
      <alignment horizontal="left" vertical="center"/>
    </xf>
    <xf numFmtId="0" fontId="53" fillId="50" borderId="67" xfId="122" applyFill="1" applyBorder="1" applyAlignment="1">
      <alignment horizontal="left" vertical="center"/>
    </xf>
    <xf numFmtId="0" fontId="53" fillId="50" borderId="66" xfId="122" applyFill="1" applyBorder="1" applyAlignment="1">
      <alignment horizontal="left" vertical="center"/>
    </xf>
    <xf numFmtId="0" fontId="53" fillId="50" borderId="264" xfId="122" applyFill="1" applyBorder="1" applyAlignment="1">
      <alignment horizontal="left" vertical="center"/>
    </xf>
    <xf numFmtId="0" fontId="53" fillId="50" borderId="265" xfId="122" applyFill="1" applyBorder="1" applyAlignment="1">
      <alignment horizontal="left" vertical="center"/>
    </xf>
    <xf numFmtId="0" fontId="49" fillId="0" borderId="266" xfId="123" applyFont="1" applyBorder="1" applyAlignment="1">
      <alignment horizontal="center" vertical="center"/>
    </xf>
    <xf numFmtId="0" fontId="49" fillId="0" borderId="267" xfId="123" applyFont="1" applyBorder="1" applyAlignment="1">
      <alignment horizontal="center" vertical="center"/>
    </xf>
    <xf numFmtId="0" fontId="49" fillId="0" borderId="268" xfId="123" applyFont="1" applyBorder="1" applyAlignment="1">
      <alignment horizontal="center" vertical="center"/>
    </xf>
    <xf numFmtId="0" fontId="49" fillId="0" borderId="269" xfId="123" applyFont="1" applyBorder="1" applyAlignment="1">
      <alignment horizontal="center" vertical="center"/>
    </xf>
    <xf numFmtId="0" fontId="49" fillId="0" borderId="270" xfId="123" applyFont="1" applyBorder="1" applyAlignment="1">
      <alignment horizontal="center" vertical="center"/>
    </xf>
    <xf numFmtId="0" fontId="49" fillId="0" borderId="271" xfId="123" applyFont="1" applyBorder="1" applyAlignment="1">
      <alignment horizontal="center" vertical="center"/>
    </xf>
    <xf numFmtId="0" fontId="49" fillId="0" borderId="272" xfId="123" applyFont="1" applyBorder="1" applyAlignment="1">
      <alignment horizontal="center" vertical="center"/>
    </xf>
    <xf numFmtId="0" fontId="49" fillId="0" borderId="273" xfId="123" applyFont="1" applyBorder="1" applyAlignment="1">
      <alignment horizontal="center" vertical="center"/>
    </xf>
    <xf numFmtId="0" fontId="53" fillId="44" borderId="70" xfId="122" applyFill="1" applyBorder="1" applyAlignment="1">
      <alignment horizontal="left" vertical="center"/>
    </xf>
    <xf numFmtId="0" fontId="53" fillId="44" borderId="274" xfId="122" applyFill="1" applyBorder="1" applyAlignment="1">
      <alignment horizontal="left" vertical="center"/>
    </xf>
    <xf numFmtId="0" fontId="53" fillId="44" borderId="275" xfId="122" applyFill="1" applyBorder="1" applyAlignment="1">
      <alignment horizontal="left" vertical="center"/>
    </xf>
    <xf numFmtId="0" fontId="53" fillId="44" borderId="71" xfId="122" applyFill="1" applyBorder="1" applyAlignment="1">
      <alignment horizontal="left" vertical="center"/>
    </xf>
    <xf numFmtId="0" fontId="53" fillId="44" borderId="276" xfId="122" applyFill="1" applyBorder="1" applyAlignment="1">
      <alignment horizontal="left" vertical="center"/>
    </xf>
    <xf numFmtId="0" fontId="53" fillId="44" borderId="277" xfId="122" applyFill="1" applyBorder="1" applyAlignment="1">
      <alignment horizontal="left" vertical="center"/>
    </xf>
    <xf numFmtId="0" fontId="67" fillId="0" borderId="0" xfId="123" applyFont="1" applyAlignment="1">
      <alignment horizontal="left" vertical="center"/>
    </xf>
    <xf numFmtId="0" fontId="66" fillId="0" borderId="0" xfId="123" applyFont="1" applyAlignment="1">
      <alignment horizontal="left" vertical="center" wrapText="1"/>
    </xf>
    <xf numFmtId="0" fontId="69" fillId="0" borderId="13" xfId="133" applyFont="1" applyBorder="1" applyAlignment="1">
      <alignment horizontal="left" vertical="top" wrapText="1"/>
    </xf>
    <xf numFmtId="0" fontId="69" fillId="0" borderId="13" xfId="126" applyFont="1" applyBorder="1" applyAlignment="1">
      <alignment horizontal="left" vertical="top" wrapText="1"/>
    </xf>
    <xf numFmtId="0" fontId="72" fillId="0" borderId="0" xfId="126" applyFont="1" applyAlignment="1">
      <alignment horizontal="right" vertical="center"/>
    </xf>
    <xf numFmtId="0" fontId="73" fillId="0" borderId="0" xfId="126" applyFont="1" applyAlignment="1">
      <alignment horizontal="center" vertical="center" wrapText="1"/>
    </xf>
    <xf numFmtId="0" fontId="74" fillId="0" borderId="100" xfId="126" applyFont="1" applyBorder="1" applyAlignment="1">
      <alignment horizontal="center" vertical="center" wrapText="1"/>
    </xf>
    <xf numFmtId="0" fontId="71" fillId="0" borderId="74" xfId="126" applyFont="1" applyBorder="1" applyAlignment="1">
      <alignment horizontal="center" vertical="center"/>
    </xf>
    <xf numFmtId="0" fontId="79" fillId="0" borderId="0" xfId="126" applyFont="1" applyAlignment="1">
      <alignment horizontal="left" vertical="center"/>
    </xf>
    <xf numFmtId="0" fontId="79" fillId="0" borderId="97" xfId="126" applyFont="1" applyBorder="1" applyAlignment="1">
      <alignment horizontal="left" vertical="center"/>
    </xf>
    <xf numFmtId="0" fontId="75" fillId="42" borderId="75" xfId="126" applyFont="1" applyFill="1" applyBorder="1" applyAlignment="1">
      <alignment horizontal="left" vertical="center"/>
    </xf>
    <xf numFmtId="0" fontId="75" fillId="42" borderId="76" xfId="126" applyFont="1" applyFill="1" applyBorder="1" applyAlignment="1">
      <alignment horizontal="left" vertical="center"/>
    </xf>
    <xf numFmtId="0" fontId="75" fillId="42" borderId="78" xfId="126" applyFont="1" applyFill="1" applyBorder="1" applyAlignment="1">
      <alignment horizontal="left" vertical="center"/>
    </xf>
    <xf numFmtId="0" fontId="75" fillId="42" borderId="96" xfId="126" applyFont="1" applyFill="1" applyBorder="1" applyAlignment="1">
      <alignment horizontal="left" vertical="center"/>
    </xf>
    <xf numFmtId="0" fontId="75" fillId="42" borderId="0" xfId="126" applyFont="1" applyFill="1" applyAlignment="1">
      <alignment horizontal="left" vertical="center"/>
    </xf>
    <xf numFmtId="0" fontId="75" fillId="42" borderId="97" xfId="126" applyFont="1" applyFill="1" applyBorder="1" applyAlignment="1">
      <alignment horizontal="left" vertical="center"/>
    </xf>
    <xf numFmtId="0" fontId="76" fillId="0" borderId="84" xfId="126" applyFont="1" applyBorder="1" applyAlignment="1">
      <alignment horizontal="left" vertical="center" shrinkToFit="1"/>
    </xf>
    <xf numFmtId="0" fontId="76" fillId="0" borderId="85" xfId="126" applyFont="1" applyBorder="1" applyAlignment="1">
      <alignment horizontal="left" vertical="center" shrinkToFit="1"/>
    </xf>
    <xf numFmtId="0" fontId="76" fillId="0" borderId="86" xfId="126" applyFont="1" applyBorder="1" applyAlignment="1">
      <alignment horizontal="left" vertical="center" shrinkToFit="1"/>
    </xf>
    <xf numFmtId="0" fontId="74" fillId="0" borderId="92" xfId="126" applyFont="1" applyBorder="1" applyAlignment="1">
      <alignment horizontal="center" vertical="center" wrapText="1"/>
    </xf>
    <xf numFmtId="0" fontId="78" fillId="0" borderId="92" xfId="126" applyFont="1" applyBorder="1" applyAlignment="1">
      <alignment horizontal="left" vertical="top" wrapText="1"/>
    </xf>
    <xf numFmtId="0" fontId="75" fillId="42" borderId="99" xfId="126" applyFont="1" applyFill="1" applyBorder="1" applyAlignment="1">
      <alignment horizontal="left" vertical="center"/>
    </xf>
    <xf numFmtId="0" fontId="75" fillId="42" borderId="100" xfId="126" applyFont="1" applyFill="1" applyBorder="1" applyAlignment="1">
      <alignment horizontal="left" vertical="center"/>
    </xf>
    <xf numFmtId="0" fontId="75" fillId="42" borderId="101" xfId="126" applyFont="1" applyFill="1" applyBorder="1" applyAlignment="1">
      <alignment horizontal="left" vertical="center"/>
    </xf>
    <xf numFmtId="0" fontId="75" fillId="42" borderId="84" xfId="126" applyFont="1" applyFill="1" applyBorder="1" applyAlignment="1">
      <alignment horizontal="left" vertical="center"/>
    </xf>
    <xf numFmtId="0" fontId="75" fillId="42" borderId="85" xfId="126" applyFont="1" applyFill="1" applyBorder="1" applyAlignment="1">
      <alignment horizontal="left" vertical="center"/>
    </xf>
    <xf numFmtId="0" fontId="75" fillId="42" borderId="86" xfId="126" applyFont="1" applyFill="1" applyBorder="1" applyAlignment="1">
      <alignment horizontal="left" vertical="center"/>
    </xf>
    <xf numFmtId="0" fontId="79" fillId="0" borderId="79" xfId="126" applyFont="1" applyBorder="1" applyAlignment="1">
      <alignment horizontal="left" vertical="center"/>
    </xf>
    <xf numFmtId="0" fontId="79" fillId="0" borderId="80" xfId="126" applyFont="1" applyBorder="1" applyAlignment="1">
      <alignment horizontal="left" vertical="center"/>
    </xf>
    <xf numFmtId="0" fontId="79" fillId="0" borderId="82" xfId="126" applyFont="1" applyBorder="1" applyAlignment="1">
      <alignment horizontal="left" vertical="center"/>
    </xf>
    <xf numFmtId="0" fontId="79" fillId="0" borderId="0" xfId="126" applyFont="1" applyAlignment="1">
      <alignment horizontal="left" vertical="center" wrapText="1"/>
    </xf>
    <xf numFmtId="0" fontId="79" fillId="0" borderId="97" xfId="126" applyFont="1" applyBorder="1" applyAlignment="1">
      <alignment horizontal="left" vertical="center" wrapText="1"/>
    </xf>
    <xf numFmtId="0" fontId="79" fillId="0" borderId="93" xfId="126" applyFont="1" applyBorder="1" applyAlignment="1">
      <alignment horizontal="left" vertical="center" wrapText="1"/>
    </xf>
    <xf numFmtId="0" fontId="79" fillId="0" borderId="94" xfId="126" applyFont="1" applyBorder="1" applyAlignment="1">
      <alignment horizontal="left" vertical="center" wrapText="1"/>
    </xf>
    <xf numFmtId="0" fontId="79" fillId="0" borderId="95" xfId="126" applyFont="1" applyBorder="1" applyAlignment="1">
      <alignment horizontal="left" vertical="center" wrapText="1"/>
    </xf>
    <xf numFmtId="0" fontId="79" fillId="0" borderId="99" xfId="126" applyFont="1" applyBorder="1" applyAlignment="1">
      <alignment horizontal="left" vertical="center"/>
    </xf>
    <xf numFmtId="0" fontId="79" fillId="0" borderId="100" xfId="126" applyFont="1" applyBorder="1" applyAlignment="1">
      <alignment horizontal="left" vertical="center"/>
    </xf>
    <xf numFmtId="0" fontId="79" fillId="0" borderId="101" xfId="126" applyFont="1" applyBorder="1" applyAlignment="1">
      <alignment horizontal="left" vertical="center"/>
    </xf>
    <xf numFmtId="0" fontId="82" fillId="0" borderId="0" xfId="126" applyFont="1" applyAlignment="1">
      <alignment horizontal="center" vertical="center"/>
    </xf>
    <xf numFmtId="0" fontId="51" fillId="44" borderId="49" xfId="128" applyFont="1" applyFill="1" applyBorder="1" applyAlignment="1" applyProtection="1">
      <alignment horizontal="left" vertical="center" indent="1" shrinkToFit="1"/>
      <protection locked="0"/>
    </xf>
    <xf numFmtId="0" fontId="56" fillId="0" borderId="51" xfId="128" applyFont="1" applyBorder="1" applyAlignment="1">
      <alignment horizontal="right" vertical="center"/>
    </xf>
    <xf numFmtId="0" fontId="84" fillId="0" borderId="10" xfId="128" applyFont="1" applyBorder="1" applyAlignment="1">
      <alignment horizontal="center" vertical="center" wrapText="1"/>
    </xf>
    <xf numFmtId="0" fontId="84" fillId="0" borderId="127" xfId="128" applyFont="1" applyBorder="1" applyAlignment="1">
      <alignment horizontal="center" vertical="center"/>
    </xf>
    <xf numFmtId="0" fontId="84" fillId="0" borderId="14" xfId="128" applyFont="1" applyBorder="1" applyAlignment="1">
      <alignment horizontal="center" vertical="center"/>
    </xf>
    <xf numFmtId="0" fontId="84" fillId="0" borderId="12" xfId="128" applyFont="1" applyBorder="1" applyAlignment="1">
      <alignment horizontal="center" vertical="center"/>
    </xf>
    <xf numFmtId="0" fontId="84" fillId="0" borderId="51" xfId="128" applyFont="1" applyBorder="1" applyAlignment="1">
      <alignment horizontal="center" vertical="center"/>
    </xf>
    <xf numFmtId="0" fontId="84" fillId="0" borderId="22" xfId="128" applyFont="1" applyBorder="1" applyAlignment="1">
      <alignment horizontal="center" vertical="center"/>
    </xf>
    <xf numFmtId="0" fontId="84" fillId="0" borderId="21" xfId="128" applyFont="1" applyBorder="1" applyAlignment="1">
      <alignment horizontal="center" vertical="center" shrinkToFit="1"/>
    </xf>
    <xf numFmtId="0" fontId="84" fillId="0" borderId="49" xfId="128" applyFont="1" applyBorder="1" applyAlignment="1">
      <alignment horizontal="center" vertical="center" shrinkToFit="1"/>
    </xf>
    <xf numFmtId="0" fontId="84" fillId="0" borderId="32" xfId="128" applyFont="1" applyBorder="1" applyAlignment="1">
      <alignment horizontal="center" vertical="center" shrinkToFit="1"/>
    </xf>
    <xf numFmtId="0" fontId="85" fillId="41" borderId="11" xfId="128" applyFont="1" applyFill="1" applyBorder="1" applyAlignment="1" applyProtection="1">
      <alignment horizontal="left" indent="2"/>
      <protection locked="0"/>
    </xf>
    <xf numFmtId="0" fontId="85" fillId="41" borderId="0" xfId="128" applyFont="1" applyFill="1" applyAlignment="1" applyProtection="1">
      <alignment horizontal="left" indent="2"/>
      <protection locked="0"/>
    </xf>
    <xf numFmtId="0" fontId="85" fillId="41" borderId="15" xfId="128" applyFont="1" applyFill="1" applyBorder="1" applyAlignment="1" applyProtection="1">
      <alignment horizontal="left" indent="2"/>
      <protection locked="0"/>
    </xf>
    <xf numFmtId="0" fontId="85" fillId="41" borderId="11" xfId="128" applyFont="1" applyFill="1" applyBorder="1" applyAlignment="1" applyProtection="1">
      <alignment horizontal="right" vertical="top" indent="2"/>
      <protection locked="0"/>
    </xf>
    <xf numFmtId="0" fontId="85" fillId="41" borderId="0" xfId="128" applyFont="1" applyFill="1" applyAlignment="1" applyProtection="1">
      <alignment horizontal="right" vertical="top" indent="2"/>
      <protection locked="0"/>
    </xf>
    <xf numFmtId="0" fontId="85" fillId="41" borderId="15" xfId="128" applyFont="1" applyFill="1" applyBorder="1" applyAlignment="1" applyProtection="1">
      <alignment horizontal="right" vertical="top" indent="2"/>
      <protection locked="0"/>
    </xf>
    <xf numFmtId="0" fontId="85" fillId="41" borderId="12" xfId="128" applyFont="1" applyFill="1" applyBorder="1" applyAlignment="1" applyProtection="1">
      <alignment horizontal="right" vertical="top" indent="2"/>
      <protection locked="0"/>
    </xf>
    <xf numFmtId="0" fontId="85" fillId="41" borderId="51" xfId="128" applyFont="1" applyFill="1" applyBorder="1" applyAlignment="1" applyProtection="1">
      <alignment horizontal="right" vertical="top" indent="2"/>
      <protection locked="0"/>
    </xf>
    <xf numFmtId="0" fontId="85" fillId="41" borderId="22" xfId="128" applyFont="1" applyFill="1" applyBorder="1" applyAlignment="1" applyProtection="1">
      <alignment horizontal="right" vertical="top" indent="2"/>
      <protection locked="0"/>
    </xf>
    <xf numFmtId="0" fontId="86" fillId="0" borderId="0" xfId="128" applyFont="1" applyAlignment="1">
      <alignment horizontal="center" vertical="center" wrapText="1"/>
    </xf>
    <xf numFmtId="0" fontId="86" fillId="0" borderId="0" xfId="128" applyFont="1" applyAlignment="1">
      <alignment horizontal="center" vertical="center"/>
    </xf>
    <xf numFmtId="0" fontId="87" fillId="40" borderId="21" xfId="128" applyFont="1" applyFill="1" applyBorder="1" applyAlignment="1">
      <alignment horizontal="center" vertical="center"/>
    </xf>
    <xf numFmtId="0" fontId="87" fillId="40" borderId="49" xfId="128" applyFont="1" applyFill="1" applyBorder="1" applyAlignment="1">
      <alignment horizontal="center" vertical="center"/>
    </xf>
    <xf numFmtId="0" fontId="87" fillId="40" borderId="32" xfId="128" applyFont="1" applyFill="1" applyBorder="1" applyAlignment="1">
      <alignment horizontal="center" vertical="center"/>
    </xf>
    <xf numFmtId="0" fontId="51" fillId="45" borderId="51" xfId="128" applyFont="1" applyFill="1" applyBorder="1" applyAlignment="1" applyProtection="1">
      <alignment horizontal="left" vertical="center" indent="1" shrinkToFit="1"/>
      <protection locked="0"/>
    </xf>
    <xf numFmtId="0" fontId="51" fillId="44" borderId="51" xfId="128" applyFont="1" applyFill="1" applyBorder="1" applyAlignment="1" applyProtection="1">
      <alignment horizontal="left" vertical="center" indent="1" shrinkToFit="1"/>
      <protection locked="0"/>
    </xf>
    <xf numFmtId="0" fontId="58" fillId="0" borderId="278" xfId="124" applyBorder="1" applyAlignment="1">
      <alignment horizontal="center" vertical="center"/>
    </xf>
    <xf numFmtId="0" fontId="58" fillId="0" borderId="279" xfId="124" applyBorder="1" applyAlignment="1">
      <alignment horizontal="center" vertical="center"/>
    </xf>
    <xf numFmtId="0" fontId="58" fillId="0" borderId="280" xfId="124" applyBorder="1" applyAlignment="1">
      <alignment horizontal="center" vertical="center"/>
    </xf>
    <xf numFmtId="0" fontId="87" fillId="0" borderId="74" xfId="128" applyFont="1" applyBorder="1" applyAlignment="1">
      <alignment horizontal="center" vertical="center"/>
    </xf>
    <xf numFmtId="0" fontId="56" fillId="0" borderId="74" xfId="128" applyFont="1" applyBorder="1" applyAlignment="1">
      <alignment horizontal="center" vertical="center"/>
    </xf>
    <xf numFmtId="0" fontId="88" fillId="0" borderId="74" xfId="128" applyFont="1" applyBorder="1" applyAlignment="1">
      <alignment horizontal="center" vertical="center" wrapText="1"/>
    </xf>
    <xf numFmtId="0" fontId="89" fillId="42" borderId="21" xfId="128" applyFont="1" applyFill="1" applyBorder="1" applyAlignment="1">
      <alignment horizontal="left" vertical="center"/>
    </xf>
    <xf numFmtId="0" fontId="89" fillId="42" borderId="49" xfId="128" applyFont="1" applyFill="1" applyBorder="1" applyAlignment="1">
      <alignment horizontal="left" vertical="center"/>
    </xf>
    <xf numFmtId="0" fontId="89" fillId="42" borderId="32" xfId="128" applyFont="1" applyFill="1" applyBorder="1" applyAlignment="1">
      <alignment horizontal="left" vertical="center"/>
    </xf>
    <xf numFmtId="0" fontId="92" fillId="0" borderId="92" xfId="128" applyFont="1" applyBorder="1" applyAlignment="1">
      <alignment horizontal="center" vertical="center" wrapText="1"/>
    </xf>
    <xf numFmtId="0" fontId="92" fillId="0" borderId="92" xfId="128" applyFont="1" applyBorder="1" applyAlignment="1">
      <alignment horizontal="left" vertical="top" wrapText="1"/>
    </xf>
    <xf numFmtId="0" fontId="47" fillId="0" borderId="83" xfId="128" applyFont="1" applyBorder="1" applyAlignment="1">
      <alignment horizontal="center" vertical="center"/>
    </xf>
    <xf numFmtId="0" fontId="47" fillId="0" borderId="98" xfId="128" applyFont="1" applyBorder="1" applyAlignment="1">
      <alignment horizontal="center" vertical="center"/>
    </xf>
    <xf numFmtId="0" fontId="84" fillId="0" borderId="21" xfId="128" applyFont="1" applyBorder="1" applyAlignment="1">
      <alignment horizontal="center" vertical="center"/>
    </xf>
    <xf numFmtId="0" fontId="84" fillId="0" borderId="49" xfId="128" applyFont="1" applyBorder="1" applyAlignment="1">
      <alignment horizontal="center" vertical="center"/>
    </xf>
    <xf numFmtId="0" fontId="84" fillId="0" borderId="32" xfId="128" applyFont="1" applyBorder="1" applyAlignment="1">
      <alignment horizontal="center" vertical="center"/>
    </xf>
    <xf numFmtId="0" fontId="47" fillId="0" borderId="92" xfId="128" applyFont="1" applyBorder="1" applyAlignment="1">
      <alignment horizontal="center" vertical="center" wrapText="1"/>
    </xf>
    <xf numFmtId="0" fontId="88" fillId="0" borderId="92" xfId="128" applyFont="1" applyBorder="1" applyAlignment="1">
      <alignment horizontal="left" vertical="top" wrapText="1"/>
    </xf>
    <xf numFmtId="0" fontId="49" fillId="0" borderId="83" xfId="128" applyFont="1" applyBorder="1" applyAlignment="1">
      <alignment horizontal="center" vertical="center"/>
    </xf>
    <xf numFmtId="0" fontId="49" fillId="0" borderId="98" xfId="128" applyFont="1" applyBorder="1" applyAlignment="1">
      <alignment horizontal="center" vertical="center"/>
    </xf>
    <xf numFmtId="0" fontId="9" fillId="0" borderId="0" xfId="146" applyFont="1" applyAlignment="1">
      <alignment horizontal="center" vertical="center"/>
    </xf>
    <xf numFmtId="190" fontId="8" fillId="49" borderId="281" xfId="146" applyNumberFormat="1" applyFont="1" applyFill="1" applyBorder="1" applyAlignment="1">
      <alignment horizontal="right" vertical="center" shrinkToFit="1"/>
    </xf>
    <xf numFmtId="190" fontId="8" fillId="49" borderId="282" xfId="146" applyNumberFormat="1" applyFont="1" applyFill="1" applyBorder="1" applyAlignment="1">
      <alignment horizontal="right" vertical="center" shrinkToFit="1"/>
    </xf>
    <xf numFmtId="190" fontId="8" fillId="49" borderId="283" xfId="146" applyNumberFormat="1" applyFont="1" applyFill="1" applyBorder="1" applyAlignment="1">
      <alignment horizontal="right" vertical="center" shrinkToFit="1"/>
    </xf>
    <xf numFmtId="0" fontId="9" fillId="49" borderId="284" xfId="146" applyFont="1" applyFill="1" applyBorder="1" applyAlignment="1">
      <alignment horizontal="center" vertical="center"/>
    </xf>
    <xf numFmtId="0" fontId="9" fillId="49" borderId="282" xfId="146" applyFont="1" applyFill="1" applyBorder="1" applyAlignment="1">
      <alignment horizontal="center" vertical="center"/>
    </xf>
    <xf numFmtId="0" fontId="9" fillId="49" borderId="283" xfId="146" applyFont="1" applyFill="1" applyBorder="1" applyAlignment="1">
      <alignment horizontal="center" vertical="center"/>
    </xf>
    <xf numFmtId="0" fontId="9" fillId="49" borderId="285" xfId="146" applyFont="1" applyFill="1" applyBorder="1" applyAlignment="1">
      <alignment horizontal="center" vertical="center"/>
    </xf>
    <xf numFmtId="190" fontId="8" fillId="49" borderId="286" xfId="146" applyNumberFormat="1" applyFont="1" applyFill="1" applyBorder="1" applyAlignment="1">
      <alignment horizontal="right" vertical="center" shrinkToFit="1"/>
    </xf>
    <xf numFmtId="190" fontId="8" fillId="49" borderId="287" xfId="146" applyNumberFormat="1" applyFont="1" applyFill="1" applyBorder="1" applyAlignment="1">
      <alignment horizontal="right" vertical="center" shrinkToFit="1"/>
    </xf>
    <xf numFmtId="190" fontId="8" fillId="49" borderId="288" xfId="146" applyNumberFormat="1" applyFont="1" applyFill="1" applyBorder="1" applyAlignment="1">
      <alignment horizontal="right" vertical="center" shrinkToFit="1"/>
    </xf>
    <xf numFmtId="0" fontId="9" fillId="49" borderId="289" xfId="146" applyFont="1" applyFill="1" applyBorder="1" applyAlignment="1">
      <alignment horizontal="center" vertical="center"/>
    </xf>
    <xf numFmtId="0" fontId="9" fillId="49" borderId="287" xfId="146" applyFont="1" applyFill="1" applyBorder="1" applyAlignment="1">
      <alignment horizontal="center" vertical="center"/>
    </xf>
    <xf numFmtId="0" fontId="9" fillId="49" borderId="288" xfId="146" applyFont="1" applyFill="1" applyBorder="1" applyAlignment="1">
      <alignment horizontal="center" vertical="center"/>
    </xf>
    <xf numFmtId="0" fontId="9" fillId="49" borderId="290" xfId="146" applyFont="1" applyFill="1" applyBorder="1" applyAlignment="1">
      <alignment horizontal="center" vertical="center"/>
    </xf>
    <xf numFmtId="0" fontId="9" fillId="0" borderId="10" xfId="146" applyFont="1" applyBorder="1" applyAlignment="1">
      <alignment horizontal="center" vertical="center"/>
    </xf>
    <xf numFmtId="0" fontId="9" fillId="0" borderId="127" xfId="146" applyFont="1" applyBorder="1" applyAlignment="1">
      <alignment horizontal="center" vertical="center"/>
    </xf>
    <xf numFmtId="0" fontId="9" fillId="0" borderId="14" xfId="146" applyFont="1" applyBorder="1" applyAlignment="1">
      <alignment horizontal="center" vertical="center"/>
    </xf>
    <xf numFmtId="190" fontId="8" fillId="49" borderId="291" xfId="146" applyNumberFormat="1" applyFont="1" applyFill="1" applyBorder="1" applyAlignment="1">
      <alignment horizontal="right" vertical="center" shrinkToFit="1"/>
    </xf>
    <xf numFmtId="190" fontId="8" fillId="49" borderId="292" xfId="146" applyNumberFormat="1" applyFont="1" applyFill="1" applyBorder="1" applyAlignment="1">
      <alignment horizontal="right" vertical="center" shrinkToFit="1"/>
    </xf>
    <xf numFmtId="190" fontId="8" fillId="49" borderId="293" xfId="146" applyNumberFormat="1" applyFont="1" applyFill="1" applyBorder="1" applyAlignment="1">
      <alignment horizontal="right" vertical="center" shrinkToFit="1"/>
    </xf>
    <xf numFmtId="0" fontId="9" fillId="49" borderId="294" xfId="146" applyFont="1" applyFill="1" applyBorder="1" applyAlignment="1">
      <alignment horizontal="center" vertical="center"/>
    </xf>
    <xf numFmtId="0" fontId="9" fillId="49" borderId="292" xfId="146" applyFont="1" applyFill="1" applyBorder="1" applyAlignment="1">
      <alignment horizontal="center" vertical="center"/>
    </xf>
    <xf numFmtId="0" fontId="9" fillId="49" borderId="293" xfId="146" applyFont="1" applyFill="1" applyBorder="1" applyAlignment="1">
      <alignment horizontal="center" vertical="center"/>
    </xf>
    <xf numFmtId="0" fontId="9" fillId="49" borderId="295" xfId="146" applyFont="1" applyFill="1" applyBorder="1" applyAlignment="1">
      <alignment horizontal="center" vertical="center"/>
    </xf>
    <xf numFmtId="189" fontId="9" fillId="49" borderId="51" xfId="146" applyNumberFormat="1" applyFont="1" applyFill="1" applyBorder="1" applyAlignment="1">
      <alignment horizontal="right" vertical="center" shrinkToFit="1"/>
    </xf>
    <xf numFmtId="177" fontId="9" fillId="49" borderId="183" xfId="146" applyNumberFormat="1" applyFont="1" applyFill="1" applyBorder="1" applyAlignment="1">
      <alignment horizontal="right" vertical="center"/>
    </xf>
    <xf numFmtId="177" fontId="9" fillId="49" borderId="182" xfId="146" applyNumberFormat="1" applyFont="1" applyFill="1" applyBorder="1" applyAlignment="1">
      <alignment horizontal="right" vertical="center"/>
    </xf>
    <xf numFmtId="49" fontId="9" fillId="30" borderId="178" xfId="146" applyNumberFormat="1" applyFont="1" applyFill="1" applyBorder="1" applyAlignment="1">
      <alignment horizontal="center" vertical="center"/>
    </xf>
    <xf numFmtId="49" fontId="9" fillId="30" borderId="179" xfId="146" applyNumberFormat="1" applyFont="1" applyFill="1" applyBorder="1" applyAlignment="1">
      <alignment horizontal="center" vertical="center"/>
    </xf>
    <xf numFmtId="49" fontId="9" fillId="30" borderId="296" xfId="146" applyNumberFormat="1" applyFont="1" applyFill="1" applyBorder="1" applyAlignment="1">
      <alignment horizontal="center" vertical="center"/>
    </xf>
    <xf numFmtId="177" fontId="9" fillId="49" borderId="183" xfId="146" applyNumberFormat="1" applyFont="1" applyFill="1" applyBorder="1" applyAlignment="1">
      <alignment horizontal="center" vertical="center"/>
    </xf>
    <xf numFmtId="177" fontId="9" fillId="49" borderId="182" xfId="146" applyNumberFormat="1" applyFont="1" applyFill="1" applyBorder="1" applyAlignment="1">
      <alignment horizontal="center" vertical="center"/>
    </xf>
    <xf numFmtId="182" fontId="9" fillId="49" borderId="182" xfId="146" applyNumberFormat="1" applyFont="1" applyFill="1" applyBorder="1" applyAlignment="1">
      <alignment horizontal="center" vertical="center" shrinkToFit="1"/>
    </xf>
    <xf numFmtId="182" fontId="9" fillId="49" borderId="181" xfId="146" applyNumberFormat="1" applyFont="1" applyFill="1" applyBorder="1" applyAlignment="1">
      <alignment horizontal="center" vertical="center" shrinkToFit="1"/>
    </xf>
    <xf numFmtId="0" fontId="9" fillId="49" borderId="183" xfId="146" applyFont="1" applyFill="1" applyBorder="1" applyAlignment="1">
      <alignment horizontal="center" vertical="center"/>
    </xf>
    <xf numFmtId="0" fontId="9" fillId="49" borderId="182" xfId="146" applyFont="1" applyFill="1" applyBorder="1" applyAlignment="1">
      <alignment horizontal="center" vertical="center"/>
    </xf>
    <xf numFmtId="0" fontId="9" fillId="30" borderId="49" xfId="146" applyFont="1" applyFill="1" applyBorder="1" applyAlignment="1">
      <alignment horizontal="center" vertical="center"/>
    </xf>
    <xf numFmtId="0" fontId="9" fillId="30" borderId="0" xfId="146" applyFont="1" applyFill="1" applyAlignment="1">
      <alignment horizontal="center" vertical="center"/>
    </xf>
    <xf numFmtId="0" fontId="9" fillId="49" borderId="51" xfId="146" applyFont="1" applyFill="1" applyBorder="1" applyAlignment="1">
      <alignment horizontal="left" vertical="center"/>
    </xf>
    <xf numFmtId="0" fontId="9" fillId="49" borderId="49" xfId="146" applyFont="1" applyFill="1" applyBorder="1" applyAlignment="1">
      <alignment horizontal="left" vertical="center" shrinkToFit="1"/>
    </xf>
    <xf numFmtId="0" fontId="9" fillId="49" borderId="0" xfId="146" applyFont="1" applyFill="1" applyAlignment="1">
      <alignment horizontal="left" vertical="center" shrinkToFit="1"/>
    </xf>
    <xf numFmtId="186" fontId="136" fillId="0" borderId="171" xfId="147" applyNumberFormat="1" applyFont="1" applyBorder="1" applyAlignment="1">
      <alignment horizontal="left" vertical="center"/>
    </xf>
    <xf numFmtId="186" fontId="136" fillId="0" borderId="0" xfId="147" applyNumberFormat="1" applyFont="1" applyAlignment="1">
      <alignment horizontal="left" vertical="center"/>
    </xf>
    <xf numFmtId="0" fontId="9" fillId="0" borderId="0" xfId="146" applyFont="1" applyAlignment="1">
      <alignment horizontal="right" vertical="center"/>
    </xf>
    <xf numFmtId="0" fontId="95" fillId="0" borderId="0" xfId="146" applyFont="1" applyAlignment="1">
      <alignment horizontal="center" vertical="center"/>
    </xf>
    <xf numFmtId="0" fontId="8" fillId="49" borderId="297" xfId="146" applyFont="1" applyFill="1" applyBorder="1" applyAlignment="1">
      <alignment horizontal="center" vertical="center"/>
    </xf>
    <xf numFmtId="0" fontId="8" fillId="49" borderId="298" xfId="146" applyFont="1" applyFill="1" applyBorder="1" applyAlignment="1">
      <alignment horizontal="center" vertical="center"/>
    </xf>
    <xf numFmtId="0" fontId="21" fillId="48" borderId="49" xfId="146" applyFont="1" applyFill="1" applyBorder="1" applyAlignment="1">
      <alignment horizontal="left" vertical="center" wrapText="1"/>
    </xf>
    <xf numFmtId="187" fontId="9" fillId="30" borderId="0" xfId="146" applyNumberFormat="1" applyFont="1" applyFill="1" applyAlignment="1">
      <alignment horizontal="right" vertical="center"/>
    </xf>
    <xf numFmtId="0" fontId="11" fillId="0" borderId="0" xfId="146" applyFont="1" applyAlignment="1">
      <alignment horizontal="center" vertical="center" shrinkToFit="1"/>
    </xf>
    <xf numFmtId="0" fontId="100" fillId="45" borderId="0" xfId="128" applyFont="1" applyFill="1" applyAlignment="1" applyProtection="1">
      <alignment horizontal="left" vertical="center" wrapText="1"/>
      <protection locked="0"/>
    </xf>
    <xf numFmtId="0" fontId="91" fillId="0" borderId="0" xfId="128" applyFont="1" applyAlignment="1">
      <alignment horizontal="center" vertical="center"/>
    </xf>
    <xf numFmtId="0" fontId="100" fillId="45" borderId="0" xfId="128" applyFont="1" applyFill="1" applyAlignment="1" applyProtection="1">
      <alignment horizontal="left" vertical="center"/>
      <protection locked="0"/>
    </xf>
    <xf numFmtId="0" fontId="100" fillId="0" borderId="0" xfId="128" applyFont="1" applyAlignment="1">
      <alignment horizontal="center" vertical="center"/>
    </xf>
    <xf numFmtId="0" fontId="100" fillId="32" borderId="0" xfId="128" applyFont="1" applyFill="1" applyAlignment="1" applyProtection="1">
      <alignment horizontal="left" vertical="center"/>
      <protection locked="0"/>
    </xf>
    <xf numFmtId="0" fontId="100" fillId="0" borderId="0" xfId="128" applyFont="1" applyAlignment="1">
      <alignment horizontal="left" vertical="center" wrapText="1"/>
    </xf>
    <xf numFmtId="0" fontId="100" fillId="0" borderId="0" xfId="128" applyFont="1" applyAlignment="1">
      <alignment horizontal="left" vertical="center"/>
    </xf>
    <xf numFmtId="0" fontId="100" fillId="45" borderId="0" xfId="128" applyFont="1" applyFill="1" applyAlignment="1" applyProtection="1">
      <alignment horizontal="left" vertical="top" wrapText="1"/>
      <protection locked="0"/>
    </xf>
    <xf numFmtId="0" fontId="100" fillId="0" borderId="0" xfId="128" applyFont="1" applyAlignment="1">
      <alignment horizontal="right" vertical="center"/>
    </xf>
    <xf numFmtId="0" fontId="15" fillId="45" borderId="0" xfId="136" applyFont="1" applyFill="1" applyAlignment="1" applyProtection="1">
      <alignment horizontal="left" vertical="center"/>
      <protection locked="0"/>
    </xf>
    <xf numFmtId="0" fontId="15" fillId="45" borderId="0" xfId="136" applyFont="1" applyFill="1" applyAlignment="1" applyProtection="1">
      <alignment horizontal="left" vertical="top" wrapText="1"/>
      <protection locked="0"/>
    </xf>
    <xf numFmtId="0" fontId="15" fillId="0" borderId="0" xfId="136" applyFont="1" applyAlignment="1">
      <alignment horizontal="center" vertical="center" shrinkToFit="1"/>
    </xf>
    <xf numFmtId="177" fontId="15" fillId="49" borderId="0" xfId="136" applyNumberFormat="1" applyFont="1" applyFill="1" applyAlignment="1" applyProtection="1">
      <alignment horizontal="center" vertical="center" shrinkToFit="1"/>
      <protection locked="0"/>
    </xf>
    <xf numFmtId="0" fontId="15" fillId="0" borderId="0" xfId="136" applyFont="1" applyAlignment="1">
      <alignment horizontal="center" vertical="center"/>
    </xf>
    <xf numFmtId="177" fontId="15" fillId="49" borderId="0" xfId="136" applyNumberFormat="1" applyFont="1" applyFill="1" applyAlignment="1" applyProtection="1">
      <alignment horizontal="center" vertical="center"/>
      <protection locked="0"/>
    </xf>
    <xf numFmtId="181" fontId="15" fillId="49" borderId="0" xfId="136" applyNumberFormat="1" applyFont="1" applyFill="1" applyAlignment="1" applyProtection="1">
      <alignment horizontal="center" vertical="center"/>
      <protection locked="0"/>
    </xf>
    <xf numFmtId="49" fontId="15" fillId="49" borderId="0" xfId="136" applyNumberFormat="1" applyFont="1" applyFill="1" applyAlignment="1" applyProtection="1">
      <alignment horizontal="center" vertical="center"/>
      <protection locked="0"/>
    </xf>
    <xf numFmtId="0" fontId="15" fillId="48" borderId="0" xfId="136" applyFont="1" applyFill="1" applyAlignment="1" applyProtection="1">
      <alignment horizontal="right" vertical="center"/>
      <protection locked="0"/>
    </xf>
    <xf numFmtId="177" fontId="15" fillId="48" borderId="127" xfId="136" applyNumberFormat="1" applyFont="1" applyFill="1" applyBorder="1" applyAlignment="1" applyProtection="1">
      <alignment horizontal="center" vertical="center"/>
      <protection locked="0"/>
    </xf>
    <xf numFmtId="0" fontId="15" fillId="0" borderId="0" xfId="136" applyFont="1" applyAlignment="1">
      <alignment horizontal="left" vertical="center"/>
    </xf>
    <xf numFmtId="0" fontId="15" fillId="0" borderId="0" xfId="136" applyFont="1" applyAlignment="1">
      <alignment horizontal="left" vertical="center" shrinkToFit="1"/>
    </xf>
    <xf numFmtId="181" fontId="15" fillId="49" borderId="0" xfId="136" applyNumberFormat="1" applyFont="1" applyFill="1" applyAlignment="1" applyProtection="1">
      <alignment horizontal="right" vertical="center"/>
      <protection locked="0"/>
    </xf>
    <xf numFmtId="0" fontId="15" fillId="48" borderId="0" xfId="136" applyFont="1" applyFill="1" applyAlignment="1" applyProtection="1">
      <alignment horizontal="center" vertical="center"/>
      <protection locked="0"/>
    </xf>
    <xf numFmtId="177" fontId="15" fillId="48" borderId="0" xfId="136" applyNumberFormat="1" applyFont="1" applyFill="1" applyAlignment="1" applyProtection="1">
      <alignment horizontal="center" vertical="center"/>
      <protection locked="0"/>
    </xf>
    <xf numFmtId="0" fontId="15" fillId="48" borderId="0" xfId="136" applyFont="1" applyFill="1" applyAlignment="1" applyProtection="1">
      <alignment horizontal="left" vertical="top" wrapText="1"/>
      <protection locked="0"/>
    </xf>
    <xf numFmtId="49" fontId="15" fillId="30" borderId="0" xfId="136" applyNumberFormat="1" applyFont="1" applyFill="1" applyAlignment="1" applyProtection="1">
      <alignment horizontal="center" vertical="center"/>
      <protection locked="0"/>
    </xf>
    <xf numFmtId="49" fontId="15" fillId="49" borderId="0" xfId="136" applyNumberFormat="1" applyFont="1" applyFill="1" applyAlignment="1" applyProtection="1">
      <alignment horizontal="left" vertical="center"/>
      <protection locked="0"/>
    </xf>
    <xf numFmtId="182" fontId="15" fillId="48" borderId="0" xfId="137" applyNumberFormat="1" applyFont="1" applyFill="1" applyAlignment="1" applyProtection="1">
      <alignment horizontal="center" vertical="center"/>
      <protection locked="0"/>
    </xf>
    <xf numFmtId="0" fontId="15" fillId="49" borderId="0" xfId="136" applyFont="1" applyFill="1" applyAlignment="1" applyProtection="1">
      <alignment horizontal="left" vertical="top" wrapText="1"/>
      <protection locked="0"/>
    </xf>
    <xf numFmtId="0" fontId="15" fillId="48" borderId="0" xfId="136" applyFont="1" applyFill="1" applyAlignment="1" applyProtection="1">
      <alignment horizontal="left" vertical="center"/>
      <protection locked="0"/>
    </xf>
    <xf numFmtId="0" fontId="14" fillId="0" borderId="0" xfId="137" applyFont="1" applyAlignment="1">
      <alignment horizontal="distributed" vertical="center"/>
    </xf>
    <xf numFmtId="0" fontId="106" fillId="0" borderId="0" xfId="137" applyFont="1" applyAlignment="1">
      <alignment horizontal="center" vertical="center"/>
    </xf>
    <xf numFmtId="182" fontId="15" fillId="49" borderId="0" xfId="136" applyNumberFormat="1" applyFont="1" applyFill="1" applyAlignment="1" applyProtection="1">
      <alignment horizontal="distributed" vertical="center"/>
      <protection locked="0"/>
    </xf>
    <xf numFmtId="0" fontId="101" fillId="0" borderId="13" xfId="128" applyFont="1" applyBorder="1" applyAlignment="1">
      <alignment horizontal="left" vertical="center"/>
    </xf>
    <xf numFmtId="179" fontId="100" fillId="45" borderId="21" xfId="128" applyNumberFormat="1" applyFont="1" applyFill="1" applyBorder="1" applyAlignment="1" applyProtection="1">
      <alignment horizontal="center" vertical="center"/>
      <protection locked="0"/>
    </xf>
    <xf numFmtId="179" fontId="100" fillId="45" borderId="49" xfId="128" applyNumberFormat="1" applyFont="1" applyFill="1" applyBorder="1" applyAlignment="1" applyProtection="1">
      <alignment horizontal="center" vertical="center"/>
      <protection locked="0"/>
    </xf>
    <xf numFmtId="0" fontId="100" fillId="0" borderId="13" xfId="128" applyFont="1" applyBorder="1" applyAlignment="1">
      <alignment horizontal="left" vertical="center"/>
    </xf>
    <xf numFmtId="0" fontId="100" fillId="45" borderId="13" xfId="128" applyFont="1" applyFill="1" applyBorder="1" applyAlignment="1" applyProtection="1">
      <alignment horizontal="left" vertical="center" wrapText="1" indent="1"/>
      <protection locked="0"/>
    </xf>
    <xf numFmtId="0" fontId="100" fillId="0" borderId="13" xfId="128" applyFont="1" applyBorder="1" applyAlignment="1">
      <alignment horizontal="left" vertical="center" shrinkToFit="1"/>
    </xf>
    <xf numFmtId="181" fontId="100" fillId="0" borderId="49" xfId="128" applyNumberFormat="1" applyFont="1" applyBorder="1" applyAlignment="1">
      <alignment horizontal="center" vertical="center"/>
    </xf>
    <xf numFmtId="0" fontId="100" fillId="0" borderId="31" xfId="128" applyFont="1" applyBorder="1" applyAlignment="1">
      <alignment horizontal="left" vertical="center"/>
    </xf>
    <xf numFmtId="0" fontId="100" fillId="45" borderId="21" xfId="128" applyFont="1" applyFill="1" applyBorder="1" applyAlignment="1" applyProtection="1">
      <alignment horizontal="center" vertical="center"/>
      <protection locked="0"/>
    </xf>
    <xf numFmtId="0" fontId="100" fillId="45" borderId="49" xfId="128" applyFont="1" applyFill="1" applyBorder="1" applyAlignment="1" applyProtection="1">
      <alignment horizontal="center" vertical="center"/>
      <protection locked="0"/>
    </xf>
    <xf numFmtId="179" fontId="100" fillId="45" borderId="10" xfId="128" applyNumberFormat="1" applyFont="1" applyFill="1" applyBorder="1" applyAlignment="1" applyProtection="1">
      <alignment horizontal="center" vertical="center"/>
      <protection locked="0"/>
    </xf>
    <xf numFmtId="179" fontId="100" fillId="45" borderId="127" xfId="128" applyNumberFormat="1" applyFont="1" applyFill="1" applyBorder="1" applyAlignment="1" applyProtection="1">
      <alignment horizontal="center" vertical="center"/>
      <protection locked="0"/>
    </xf>
    <xf numFmtId="0" fontId="100" fillId="0" borderId="10" xfId="128" applyFont="1" applyBorder="1" applyAlignment="1">
      <alignment horizontal="left" vertical="center"/>
    </xf>
    <xf numFmtId="0" fontId="100" fillId="0" borderId="127" xfId="128" applyFont="1" applyBorder="1" applyAlignment="1">
      <alignment horizontal="left" vertical="center"/>
    </xf>
    <xf numFmtId="0" fontId="100" fillId="0" borderId="14" xfId="128" applyFont="1" applyBorder="1" applyAlignment="1">
      <alignment horizontal="left" vertical="center"/>
    </xf>
    <xf numFmtId="0" fontId="104" fillId="41" borderId="10" xfId="128" applyFont="1" applyFill="1" applyBorder="1" applyAlignment="1">
      <alignment horizontal="center" vertical="center"/>
    </xf>
    <xf numFmtId="0" fontId="104" fillId="41" borderId="127" xfId="128" applyFont="1" applyFill="1" applyBorder="1" applyAlignment="1">
      <alignment horizontal="center" vertical="center"/>
    </xf>
    <xf numFmtId="0" fontId="15" fillId="45" borderId="0" xfId="126" applyFont="1" applyFill="1" applyAlignment="1">
      <alignment horizontal="left" vertical="top" wrapText="1"/>
    </xf>
    <xf numFmtId="0" fontId="106" fillId="0" borderId="0" xfId="126" applyFont="1" applyAlignment="1">
      <alignment horizontal="center" vertical="center"/>
    </xf>
    <xf numFmtId="0" fontId="14" fillId="0" borderId="0" xfId="126" applyFont="1" applyAlignment="1">
      <alignment horizontal="right" vertical="center"/>
    </xf>
    <xf numFmtId="0" fontId="15" fillId="0" borderId="13" xfId="126" applyFont="1" applyBorder="1" applyAlignment="1">
      <alignment horizontal="center" vertical="center"/>
    </xf>
    <xf numFmtId="182" fontId="15" fillId="32" borderId="51" xfId="126" applyNumberFormat="1" applyFont="1" applyFill="1" applyBorder="1" applyAlignment="1" applyProtection="1">
      <alignment horizontal="center" vertical="center"/>
      <protection locked="0"/>
    </xf>
    <xf numFmtId="49" fontId="15" fillId="32" borderId="51" xfId="126" applyNumberFormat="1" applyFont="1" applyFill="1" applyBorder="1" applyAlignment="1" applyProtection="1">
      <alignment horizontal="center" vertical="center"/>
      <protection locked="0"/>
    </xf>
    <xf numFmtId="0" fontId="15" fillId="0" borderId="13" xfId="127" applyFont="1" applyBorder="1" applyAlignment="1">
      <alignment horizontal="center" vertical="center"/>
    </xf>
    <xf numFmtId="0" fontId="15" fillId="45" borderId="23" xfId="126" applyFont="1" applyFill="1" applyBorder="1" applyAlignment="1">
      <alignment horizontal="left" vertical="center" wrapText="1"/>
    </xf>
    <xf numFmtId="0" fontId="15" fillId="45" borderId="128" xfId="126" applyFont="1" applyFill="1" applyBorder="1" applyAlignment="1">
      <alignment horizontal="left" vertical="center" wrapText="1"/>
    </xf>
    <xf numFmtId="0" fontId="15" fillId="45" borderId="24" xfId="126" applyFont="1" applyFill="1" applyBorder="1" applyAlignment="1">
      <alignment horizontal="left" vertical="center" wrapText="1"/>
    </xf>
    <xf numFmtId="0" fontId="15" fillId="45" borderId="299" xfId="126" applyFont="1" applyFill="1" applyBorder="1" applyAlignment="1">
      <alignment horizontal="left" vertical="center" wrapText="1"/>
    </xf>
    <xf numFmtId="0" fontId="15" fillId="45" borderId="52" xfId="126" applyFont="1" applyFill="1" applyBorder="1" applyAlignment="1">
      <alignment horizontal="left" vertical="center" wrapText="1"/>
    </xf>
    <xf numFmtId="0" fontId="15" fillId="45" borderId="45" xfId="126" applyFont="1" applyFill="1" applyBorder="1" applyAlignment="1">
      <alignment horizontal="left" vertical="center" wrapText="1"/>
    </xf>
    <xf numFmtId="0" fontId="15" fillId="0" borderId="10" xfId="127" applyFont="1" applyBorder="1" applyAlignment="1">
      <alignment horizontal="center" vertical="center" textRotation="255" wrapText="1"/>
    </xf>
    <xf numFmtId="0" fontId="15" fillId="0" borderId="11" xfId="127" applyFont="1" applyBorder="1" applyAlignment="1">
      <alignment horizontal="center" vertical="center" textRotation="255" wrapText="1"/>
    </xf>
    <xf numFmtId="0" fontId="15" fillId="0" borderId="12" xfId="127" applyFont="1" applyBorder="1" applyAlignment="1">
      <alignment horizontal="center" vertical="center" textRotation="255" wrapText="1"/>
    </xf>
    <xf numFmtId="0" fontId="15" fillId="0" borderId="14" xfId="127" applyFont="1" applyBorder="1" applyAlignment="1">
      <alignment horizontal="center" vertical="center" textRotation="255" wrapText="1"/>
    </xf>
    <xf numFmtId="0" fontId="15" fillId="0" borderId="15" xfId="127" applyFont="1" applyBorder="1" applyAlignment="1">
      <alignment horizontal="center" vertical="center" textRotation="255" wrapText="1"/>
    </xf>
    <xf numFmtId="0" fontId="15" fillId="0" borderId="22" xfId="127" applyFont="1" applyBorder="1" applyAlignment="1">
      <alignment horizontal="center" vertical="center" textRotation="255" wrapText="1"/>
    </xf>
    <xf numFmtId="0" fontId="15" fillId="0" borderId="23" xfId="127" applyFont="1" applyBorder="1" applyAlignment="1">
      <alignment horizontal="left" vertical="center"/>
    </xf>
    <xf numFmtId="0" fontId="15" fillId="0" borderId="128" xfId="127" applyFont="1" applyBorder="1" applyAlignment="1">
      <alignment horizontal="left" vertical="center"/>
    </xf>
    <xf numFmtId="0" fontId="15" fillId="0" borderId="24" xfId="127" applyFont="1" applyBorder="1" applyAlignment="1">
      <alignment horizontal="left" vertical="center"/>
    </xf>
    <xf numFmtId="0" fontId="15" fillId="45" borderId="23" xfId="127" applyFont="1" applyFill="1" applyBorder="1" applyAlignment="1">
      <alignment horizontal="center" vertical="center"/>
    </xf>
    <xf numFmtId="0" fontId="15" fillId="45" borderId="128" xfId="127" applyFont="1" applyFill="1" applyBorder="1" applyAlignment="1">
      <alignment horizontal="center" vertical="center"/>
    </xf>
    <xf numFmtId="0" fontId="15" fillId="45" borderId="128" xfId="127" applyFont="1" applyFill="1" applyBorder="1" applyAlignment="1">
      <alignment horizontal="center" vertical="center" shrinkToFit="1"/>
    </xf>
    <xf numFmtId="0" fontId="15" fillId="0" borderId="299" xfId="127" applyFont="1" applyBorder="1" applyAlignment="1">
      <alignment horizontal="left" vertical="center"/>
    </xf>
    <xf numFmtId="0" fontId="15" fillId="0" borderId="52" xfId="127" applyFont="1" applyBorder="1" applyAlignment="1">
      <alignment horizontal="left" vertical="center"/>
    </xf>
    <xf numFmtId="0" fontId="15" fillId="0" borderId="45" xfId="127" applyFont="1" applyBorder="1" applyAlignment="1">
      <alignment horizontal="left" vertical="center"/>
    </xf>
    <xf numFmtId="0" fontId="15" fillId="45" borderId="299" xfId="127" applyFont="1" applyFill="1" applyBorder="1" applyAlignment="1">
      <alignment horizontal="left" vertical="center"/>
    </xf>
    <xf numFmtId="0" fontId="15" fillId="45" borderId="52" xfId="127" applyFont="1" applyFill="1" applyBorder="1" applyAlignment="1">
      <alignment horizontal="left" vertical="center"/>
    </xf>
    <xf numFmtId="0" fontId="15" fillId="0" borderId="16" xfId="127" applyFont="1" applyBorder="1" applyAlignment="1">
      <alignment horizontal="left" vertical="top"/>
    </xf>
    <xf numFmtId="0" fontId="15" fillId="0" borderId="144" xfId="127" applyFont="1" applyBorder="1" applyAlignment="1">
      <alignment horizontal="left" vertical="top"/>
    </xf>
    <xf numFmtId="0" fontId="15" fillId="0" borderId="17" xfId="127" applyFont="1" applyBorder="1" applyAlignment="1">
      <alignment horizontal="left" vertical="top"/>
    </xf>
    <xf numFmtId="0" fontId="15" fillId="0" borderId="25" xfId="127" applyFont="1" applyBorder="1" applyAlignment="1">
      <alignment horizontal="left" vertical="top"/>
    </xf>
    <xf numFmtId="0" fontId="15" fillId="0" borderId="31" xfId="127" applyFont="1" applyBorder="1" applyAlignment="1">
      <alignment horizontal="left" vertical="top"/>
    </xf>
    <xf numFmtId="0" fontId="15" fillId="0" borderId="41" xfId="127" applyFont="1" applyBorder="1" applyAlignment="1">
      <alignment horizontal="left" vertical="top"/>
    </xf>
    <xf numFmtId="0" fontId="15" fillId="45" borderId="299" xfId="127" applyFont="1" applyFill="1" applyBorder="1" applyAlignment="1">
      <alignment horizontal="center" vertical="center"/>
    </xf>
    <xf numFmtId="0" fontId="15" fillId="45" borderId="52" xfId="127" applyFont="1" applyFill="1" applyBorder="1" applyAlignment="1">
      <alignment horizontal="center" vertical="center"/>
    </xf>
    <xf numFmtId="0" fontId="15" fillId="0" borderId="52" xfId="127" applyFont="1" applyBorder="1" applyAlignment="1">
      <alignment horizontal="center" vertical="center" shrinkToFit="1"/>
    </xf>
    <xf numFmtId="0" fontId="15" fillId="45" borderId="52" xfId="127" applyFont="1" applyFill="1" applyBorder="1" applyAlignment="1">
      <alignment horizontal="center" vertical="center" shrinkToFit="1"/>
    </xf>
    <xf numFmtId="0" fontId="15" fillId="45" borderId="45" xfId="127" applyFont="1" applyFill="1" applyBorder="1" applyAlignment="1">
      <alignment horizontal="left" vertical="center"/>
    </xf>
    <xf numFmtId="0" fontId="15" fillId="0" borderId="300" xfId="127" applyFont="1" applyBorder="1" applyAlignment="1">
      <alignment horizontal="left" vertical="center"/>
    </xf>
    <xf numFmtId="0" fontId="15" fillId="0" borderId="301" xfId="127" applyFont="1" applyBorder="1" applyAlignment="1">
      <alignment horizontal="left" vertical="center"/>
    </xf>
    <xf numFmtId="0" fontId="15" fillId="0" borderId="302" xfId="127" applyFont="1" applyBorder="1" applyAlignment="1">
      <alignment horizontal="left" vertical="center"/>
    </xf>
    <xf numFmtId="0" fontId="15" fillId="45" borderId="300" xfId="127" applyFont="1" applyFill="1" applyBorder="1" applyAlignment="1">
      <alignment horizontal="left" vertical="center"/>
    </xf>
    <xf numFmtId="0" fontId="15" fillId="45" borderId="301" xfId="127" applyFont="1" applyFill="1" applyBorder="1" applyAlignment="1">
      <alignment horizontal="left" vertical="center"/>
    </xf>
    <xf numFmtId="0" fontId="15" fillId="45" borderId="302" xfId="127" applyFont="1" applyFill="1" applyBorder="1" applyAlignment="1">
      <alignment horizontal="left" vertical="center"/>
    </xf>
    <xf numFmtId="0" fontId="15" fillId="0" borderId="10" xfId="126" applyFont="1" applyBorder="1" applyAlignment="1">
      <alignment horizontal="left" vertical="center"/>
    </xf>
    <xf numFmtId="0" fontId="15" fillId="0" borderId="127" xfId="126" applyFont="1" applyBorder="1" applyAlignment="1">
      <alignment horizontal="left" vertical="center"/>
    </xf>
    <xf numFmtId="0" fontId="15" fillId="0" borderId="14" xfId="126" applyFont="1" applyBorder="1" applyAlignment="1">
      <alignment horizontal="left" vertical="center"/>
    </xf>
    <xf numFmtId="0" fontId="15" fillId="32" borderId="11" xfId="126" applyFont="1" applyFill="1" applyBorder="1" applyAlignment="1" applyProtection="1">
      <alignment horizontal="left" vertical="center" wrapText="1"/>
      <protection locked="0"/>
    </xf>
    <xf numFmtId="0" fontId="15" fillId="32" borderId="0" xfId="126" applyFont="1" applyFill="1" applyAlignment="1" applyProtection="1">
      <alignment horizontal="left" vertical="center" wrapText="1"/>
      <protection locked="0"/>
    </xf>
    <xf numFmtId="0" fontId="15" fillId="32" borderId="15" xfId="126" applyFont="1" applyFill="1" applyBorder="1" applyAlignment="1" applyProtection="1">
      <alignment horizontal="left" vertical="center" wrapText="1"/>
      <protection locked="0"/>
    </xf>
    <xf numFmtId="0" fontId="15" fillId="32" borderId="12" xfId="126" applyFont="1" applyFill="1" applyBorder="1" applyAlignment="1" applyProtection="1">
      <alignment horizontal="left" vertical="center" wrapText="1"/>
      <protection locked="0"/>
    </xf>
    <xf numFmtId="0" fontId="15" fillId="32" borderId="51" xfId="126" applyFont="1" applyFill="1" applyBorder="1" applyAlignment="1" applyProtection="1">
      <alignment horizontal="left" vertical="center" wrapText="1"/>
      <protection locked="0"/>
    </xf>
    <xf numFmtId="0" fontId="15" fillId="32" borderId="22" xfId="126" applyFont="1" applyFill="1" applyBorder="1" applyAlignment="1" applyProtection="1">
      <alignment horizontal="left" vertical="center" wrapText="1"/>
      <protection locked="0"/>
    </xf>
    <xf numFmtId="0" fontId="15" fillId="0" borderId="0" xfId="126" applyFont="1" applyAlignment="1">
      <alignment horizontal="left" vertical="center" wrapText="1"/>
    </xf>
    <xf numFmtId="0" fontId="15" fillId="45" borderId="0" xfId="126" applyFont="1" applyFill="1" applyAlignment="1">
      <alignment horizontal="left" vertical="center"/>
    </xf>
    <xf numFmtId="0" fontId="15" fillId="0" borderId="299" xfId="127" applyFont="1" applyBorder="1" applyAlignment="1">
      <alignment horizontal="left" vertical="top"/>
    </xf>
    <xf numFmtId="0" fontId="15" fillId="0" borderId="52" xfId="127" applyFont="1" applyBorder="1" applyAlignment="1">
      <alignment horizontal="left" vertical="top"/>
    </xf>
    <xf numFmtId="0" fontId="15" fillId="0" borderId="45" xfId="127" applyFont="1" applyBorder="1" applyAlignment="1">
      <alignment horizontal="left" vertical="top"/>
    </xf>
    <xf numFmtId="0" fontId="15" fillId="0" borderId="10" xfId="127" applyFont="1" applyBorder="1" applyAlignment="1">
      <alignment horizontal="center" vertical="center" textRotation="255"/>
    </xf>
    <xf numFmtId="0" fontId="15" fillId="0" borderId="127" xfId="127" applyFont="1" applyBorder="1" applyAlignment="1">
      <alignment horizontal="center" vertical="center" textRotation="255"/>
    </xf>
    <xf numFmtId="0" fontId="15" fillId="0" borderId="11" xfId="127" applyFont="1" applyBorder="1" applyAlignment="1">
      <alignment horizontal="center" vertical="center" textRotation="255"/>
    </xf>
    <xf numFmtId="0" fontId="15" fillId="0" borderId="0" xfId="127" applyFont="1" applyAlignment="1">
      <alignment horizontal="center" vertical="center" textRotation="255"/>
    </xf>
    <xf numFmtId="0" fontId="15" fillId="0" borderId="12" xfId="127" applyFont="1" applyBorder="1" applyAlignment="1">
      <alignment horizontal="center" vertical="center" textRotation="255"/>
    </xf>
    <xf numFmtId="0" fontId="15" fillId="0" borderId="51" xfId="127" applyFont="1" applyBorder="1" applyAlignment="1">
      <alignment horizontal="center" vertical="center" textRotation="255"/>
    </xf>
    <xf numFmtId="0" fontId="15" fillId="45" borderId="23" xfId="127" applyFont="1" applyFill="1" applyBorder="1" applyAlignment="1">
      <alignment horizontal="left" vertical="center"/>
    </xf>
    <xf numFmtId="0" fontId="15" fillId="45" borderId="128" xfId="127" applyFont="1" applyFill="1" applyBorder="1" applyAlignment="1">
      <alignment horizontal="left" vertical="center"/>
    </xf>
    <xf numFmtId="0" fontId="15" fillId="45" borderId="299" xfId="127" applyFont="1" applyFill="1" applyBorder="1" applyAlignment="1">
      <alignment horizontal="left" vertical="top" wrapText="1"/>
    </xf>
    <xf numFmtId="0" fontId="15" fillId="45" borderId="52" xfId="127" applyFont="1" applyFill="1" applyBorder="1" applyAlignment="1">
      <alignment horizontal="left" vertical="top" wrapText="1"/>
    </xf>
    <xf numFmtId="0" fontId="15" fillId="45" borderId="45" xfId="127" applyFont="1" applyFill="1" applyBorder="1" applyAlignment="1">
      <alignment horizontal="left" vertical="top" wrapText="1"/>
    </xf>
    <xf numFmtId="0" fontId="15" fillId="41" borderId="10" xfId="126" applyFont="1" applyFill="1" applyBorder="1" applyAlignment="1" applyProtection="1">
      <alignment horizontal="left" vertical="center" shrinkToFit="1"/>
      <protection locked="0"/>
    </xf>
    <xf numFmtId="0" fontId="15" fillId="41" borderId="127" xfId="126" applyFont="1" applyFill="1" applyBorder="1" applyAlignment="1" applyProtection="1">
      <alignment horizontal="left" vertical="center" shrinkToFit="1"/>
      <protection locked="0"/>
    </xf>
    <xf numFmtId="0" fontId="15" fillId="41" borderId="14" xfId="126" applyFont="1" applyFill="1" applyBorder="1" applyAlignment="1" applyProtection="1">
      <alignment horizontal="left" vertical="center" shrinkToFit="1"/>
      <protection locked="0"/>
    </xf>
    <xf numFmtId="0" fontId="15" fillId="32" borderId="12" xfId="126" applyFont="1" applyFill="1" applyBorder="1" applyAlignment="1" applyProtection="1">
      <alignment horizontal="left" vertical="center" shrinkToFit="1"/>
      <protection locked="0"/>
    </xf>
    <xf numFmtId="0" fontId="15" fillId="32" borderId="51" xfId="126" applyFont="1" applyFill="1" applyBorder="1" applyAlignment="1" applyProtection="1">
      <alignment horizontal="left" vertical="center" shrinkToFit="1"/>
      <protection locked="0"/>
    </xf>
    <xf numFmtId="0" fontId="15" fillId="32" borderId="22" xfId="126" applyFont="1" applyFill="1" applyBorder="1" applyAlignment="1" applyProtection="1">
      <alignment horizontal="left" vertical="center" shrinkToFit="1"/>
      <protection locked="0"/>
    </xf>
    <xf numFmtId="0" fontId="15" fillId="0" borderId="10" xfId="126" applyFont="1" applyBorder="1" applyAlignment="1">
      <alignment horizontal="center" vertical="center" textRotation="255"/>
    </xf>
    <xf numFmtId="0" fontId="15" fillId="0" borderId="127" xfId="126" applyFont="1" applyBorder="1" applyAlignment="1">
      <alignment horizontal="center" vertical="center" textRotation="255"/>
    </xf>
    <xf numFmtId="0" fontId="15" fillId="0" borderId="11" xfId="126" applyFont="1" applyBorder="1" applyAlignment="1">
      <alignment horizontal="center" vertical="center" textRotation="255"/>
    </xf>
    <xf numFmtId="0" fontId="15" fillId="0" borderId="0" xfId="126" applyFont="1" applyAlignment="1">
      <alignment horizontal="center" vertical="center" textRotation="255"/>
    </xf>
    <xf numFmtId="0" fontId="15" fillId="0" borderId="12" xfId="126" applyFont="1" applyBorder="1" applyAlignment="1">
      <alignment horizontal="center" vertical="center" textRotation="255"/>
    </xf>
    <xf numFmtId="0" fontId="15" fillId="0" borderId="51" xfId="126" applyFont="1" applyBorder="1" applyAlignment="1">
      <alignment horizontal="center" vertical="center" textRotation="255"/>
    </xf>
    <xf numFmtId="0" fontId="15" fillId="0" borderId="23" xfId="127" applyFont="1" applyBorder="1" applyAlignment="1">
      <alignment horizontal="left" vertical="top"/>
    </xf>
    <xf numFmtId="0" fontId="15" fillId="0" borderId="128" xfId="127" applyFont="1" applyBorder="1" applyAlignment="1">
      <alignment horizontal="left" vertical="top"/>
    </xf>
    <xf numFmtId="0" fontId="15" fillId="0" borderId="24" xfId="127" applyFont="1" applyBorder="1" applyAlignment="1">
      <alignment horizontal="left" vertical="top"/>
    </xf>
    <xf numFmtId="0" fontId="15" fillId="0" borderId="299" xfId="126" applyFont="1" applyBorder="1" applyAlignment="1">
      <alignment horizontal="left" vertical="center"/>
    </xf>
    <xf numFmtId="0" fontId="15" fillId="0" borderId="52" xfId="126" applyFont="1" applyBorder="1" applyAlignment="1">
      <alignment horizontal="left" vertical="center"/>
    </xf>
    <xf numFmtId="0" fontId="15" fillId="0" borderId="45" xfId="126" applyFont="1" applyBorder="1" applyAlignment="1">
      <alignment horizontal="left" vertical="center"/>
    </xf>
    <xf numFmtId="0" fontId="15" fillId="32" borderId="299" xfId="126" applyFont="1" applyFill="1" applyBorder="1" applyAlignment="1" applyProtection="1">
      <alignment horizontal="center" vertical="center" wrapText="1"/>
      <protection locked="0"/>
    </xf>
    <xf numFmtId="0" fontId="15" fillId="32" borderId="52" xfId="126" applyFont="1" applyFill="1" applyBorder="1" applyAlignment="1" applyProtection="1">
      <alignment horizontal="center" vertical="center" wrapText="1"/>
      <protection locked="0"/>
    </xf>
    <xf numFmtId="0" fontId="15" fillId="45" borderId="52" xfId="126" applyFont="1" applyFill="1" applyBorder="1" applyAlignment="1">
      <alignment horizontal="center" vertical="center" wrapText="1"/>
    </xf>
    <xf numFmtId="0" fontId="15" fillId="45" borderId="45" xfId="126" applyFont="1" applyFill="1" applyBorder="1" applyAlignment="1">
      <alignment horizontal="center" vertical="center" wrapText="1"/>
    </xf>
    <xf numFmtId="0" fontId="15" fillId="0" borderId="300" xfId="126" applyFont="1" applyBorder="1" applyAlignment="1">
      <alignment horizontal="left" vertical="center"/>
    </xf>
    <xf numFmtId="0" fontId="15" fillId="0" borderId="301" xfId="126" applyFont="1" applyBorder="1" applyAlignment="1">
      <alignment horizontal="left" vertical="center"/>
    </xf>
    <xf numFmtId="0" fontId="15" fillId="0" borderId="302" xfId="126" applyFont="1" applyBorder="1" applyAlignment="1">
      <alignment horizontal="left" vertical="center"/>
    </xf>
    <xf numFmtId="0" fontId="15" fillId="45" borderId="300" xfId="126" applyFont="1" applyFill="1" applyBorder="1" applyAlignment="1">
      <alignment horizontal="left" vertical="center"/>
    </xf>
    <xf numFmtId="0" fontId="15" fillId="45" borderId="301" xfId="126" applyFont="1" applyFill="1" applyBorder="1" applyAlignment="1">
      <alignment horizontal="left" vertical="center"/>
    </xf>
    <xf numFmtId="0" fontId="15" fillId="45" borderId="302" xfId="126" applyFont="1" applyFill="1" applyBorder="1" applyAlignment="1">
      <alignment horizontal="left" vertical="center"/>
    </xf>
    <xf numFmtId="0" fontId="15" fillId="32" borderId="10" xfId="126" applyFont="1" applyFill="1" applyBorder="1" applyAlignment="1" applyProtection="1">
      <alignment horizontal="left" vertical="center" wrapText="1"/>
      <protection locked="0"/>
    </xf>
    <xf numFmtId="0" fontId="15" fillId="32" borderId="127" xfId="126" applyFont="1" applyFill="1" applyBorder="1" applyAlignment="1" applyProtection="1">
      <alignment horizontal="left" vertical="center" wrapText="1"/>
      <protection locked="0"/>
    </xf>
    <xf numFmtId="0" fontId="15" fillId="32" borderId="14" xfId="126" applyFont="1" applyFill="1" applyBorder="1" applyAlignment="1" applyProtection="1">
      <alignment horizontal="left" vertical="center" wrapText="1"/>
      <protection locked="0"/>
    </xf>
    <xf numFmtId="0" fontId="15" fillId="0" borderId="14" xfId="126" applyFont="1" applyBorder="1" applyAlignment="1">
      <alignment horizontal="center" vertical="center" textRotation="255"/>
    </xf>
    <xf numFmtId="0" fontId="15" fillId="0" borderId="15" xfId="126" applyFont="1" applyBorder="1" applyAlignment="1">
      <alignment horizontal="center" vertical="center" textRotation="255"/>
    </xf>
    <xf numFmtId="0" fontId="15" fillId="0" borderId="22" xfId="126" applyFont="1" applyBorder="1" applyAlignment="1">
      <alignment horizontal="center" vertical="center" textRotation="255"/>
    </xf>
    <xf numFmtId="0" fontId="15" fillId="0" borderId="11" xfId="126" applyFont="1" applyBorder="1" applyAlignment="1">
      <alignment horizontal="left" vertical="center"/>
    </xf>
    <xf numFmtId="0" fontId="15" fillId="0" borderId="0" xfId="126" applyFont="1" applyAlignment="1">
      <alignment horizontal="left" vertical="center"/>
    </xf>
    <xf numFmtId="0" fontId="15" fillId="0" borderId="15" xfId="126" applyFont="1" applyBorder="1" applyAlignment="1">
      <alignment horizontal="left" vertical="center"/>
    </xf>
    <xf numFmtId="0" fontId="15" fillId="0" borderId="10" xfId="126" applyFont="1" applyBorder="1" applyAlignment="1">
      <alignment horizontal="center" vertical="center" shrinkToFit="1"/>
    </xf>
    <xf numFmtId="0" fontId="15" fillId="0" borderId="127" xfId="126" applyFont="1" applyBorder="1" applyAlignment="1">
      <alignment horizontal="center" vertical="center" shrinkToFit="1"/>
    </xf>
    <xf numFmtId="0" fontId="15" fillId="0" borderId="14" xfId="126" applyFont="1" applyBorder="1" applyAlignment="1">
      <alignment horizontal="center" vertical="center" shrinkToFit="1"/>
    </xf>
    <xf numFmtId="0" fontId="15" fillId="0" borderId="12" xfId="126" applyFont="1" applyBorder="1" applyAlignment="1">
      <alignment horizontal="center" vertical="center" shrinkToFit="1"/>
    </xf>
    <xf numFmtId="0" fontId="15" fillId="0" borderId="51" xfId="126" applyFont="1" applyBorder="1" applyAlignment="1">
      <alignment horizontal="center" vertical="center" shrinkToFit="1"/>
    </xf>
    <xf numFmtId="0" fontId="15" fillId="0" borderId="22" xfId="126" applyFont="1" applyBorder="1" applyAlignment="1">
      <alignment horizontal="center" vertical="center" shrinkToFit="1"/>
    </xf>
    <xf numFmtId="0" fontId="15" fillId="0" borderId="11" xfId="126" applyFont="1" applyBorder="1" applyAlignment="1">
      <alignment horizontal="center" vertical="center" shrinkToFit="1"/>
    </xf>
    <xf numFmtId="0" fontId="15" fillId="0" borderId="0" xfId="126" applyFont="1" applyAlignment="1">
      <alignment horizontal="center" vertical="center" shrinkToFit="1"/>
    </xf>
    <xf numFmtId="0" fontId="15" fillId="0" borderId="15" xfId="126" applyFont="1" applyBorder="1" applyAlignment="1">
      <alignment horizontal="center" vertical="center" shrinkToFit="1"/>
    </xf>
    <xf numFmtId="0" fontId="15" fillId="41" borderId="11" xfId="126" applyFont="1" applyFill="1" applyBorder="1" applyAlignment="1" applyProtection="1">
      <alignment horizontal="left" vertical="center" shrinkToFit="1"/>
      <protection locked="0"/>
    </xf>
    <xf numFmtId="0" fontId="15" fillId="41" borderId="0" xfId="126" applyFont="1" applyFill="1" applyAlignment="1" applyProtection="1">
      <alignment horizontal="left" vertical="center" shrinkToFit="1"/>
      <protection locked="0"/>
    </xf>
    <xf numFmtId="0" fontId="15" fillId="41" borderId="15" xfId="126" applyFont="1" applyFill="1" applyBorder="1" applyAlignment="1" applyProtection="1">
      <alignment horizontal="left" vertical="center" shrinkToFit="1"/>
      <protection locked="0"/>
    </xf>
    <xf numFmtId="0" fontId="11" fillId="41" borderId="303" xfId="126" applyFont="1" applyFill="1" applyBorder="1" applyAlignment="1" applyProtection="1">
      <alignment horizontal="center" vertical="center"/>
      <protection locked="0"/>
    </xf>
    <xf numFmtId="0" fontId="11" fillId="41" borderId="304" xfId="126" applyFont="1" applyFill="1" applyBorder="1" applyAlignment="1" applyProtection="1">
      <alignment horizontal="center" vertical="center"/>
      <protection locked="0"/>
    </xf>
    <xf numFmtId="0" fontId="11" fillId="41" borderId="129" xfId="126" applyFont="1" applyFill="1" applyBorder="1" applyAlignment="1" applyProtection="1">
      <alignment horizontal="center" vertical="center"/>
      <protection locked="0"/>
    </xf>
    <xf numFmtId="0" fontId="11" fillId="41" borderId="305" xfId="126" applyFont="1" applyFill="1" applyBorder="1" applyAlignment="1" applyProtection="1">
      <alignment horizontal="center" vertical="center"/>
      <protection locked="0"/>
    </xf>
    <xf numFmtId="0" fontId="11" fillId="41" borderId="306" xfId="126" applyFont="1" applyFill="1" applyBorder="1" applyAlignment="1" applyProtection="1">
      <alignment horizontal="center" vertical="center"/>
      <protection locked="0"/>
    </xf>
    <xf numFmtId="0" fontId="11" fillId="41" borderId="130" xfId="126" applyFont="1" applyFill="1" applyBorder="1" applyAlignment="1" applyProtection="1">
      <alignment horizontal="center" vertical="center"/>
      <protection locked="0"/>
    </xf>
    <xf numFmtId="0" fontId="11" fillId="0" borderId="132" xfId="126" applyFont="1" applyBorder="1" applyAlignment="1">
      <alignment horizontal="center" vertical="center" textRotation="255"/>
    </xf>
    <xf numFmtId="0" fontId="11" fillId="0" borderId="32" xfId="126" applyFont="1" applyBorder="1" applyAlignment="1">
      <alignment horizontal="center" vertical="center" textRotation="255"/>
    </xf>
    <xf numFmtId="0" fontId="11" fillId="0" borderId="138" xfId="126" applyFont="1" applyBorder="1" applyAlignment="1">
      <alignment horizontal="center" vertical="center" textRotation="255"/>
    </xf>
    <xf numFmtId="0" fontId="11" fillId="32" borderId="49" xfId="126" applyFont="1" applyFill="1" applyBorder="1" applyAlignment="1" applyProtection="1">
      <alignment horizontal="center" vertical="center"/>
      <protection locked="0"/>
    </xf>
    <xf numFmtId="0" fontId="68" fillId="0" borderId="0" xfId="126" applyFont="1" applyAlignment="1">
      <alignment horizontal="left" vertical="center"/>
    </xf>
    <xf numFmtId="0" fontId="11" fillId="0" borderId="303" xfId="126" applyFont="1" applyBorder="1" applyAlignment="1">
      <alignment horizontal="center" vertical="center"/>
    </xf>
    <xf numFmtId="0" fontId="11" fillId="0" borderId="305" xfId="126" applyFont="1" applyBorder="1" applyAlignment="1">
      <alignment horizontal="center" vertical="center"/>
    </xf>
    <xf numFmtId="0" fontId="11" fillId="0" borderId="132" xfId="126" applyFont="1" applyBorder="1" applyAlignment="1">
      <alignment horizontal="center" vertical="center"/>
    </xf>
    <xf numFmtId="0" fontId="11" fillId="0" borderId="133" xfId="126" applyFont="1" applyBorder="1" applyAlignment="1">
      <alignment horizontal="center" vertical="center"/>
    </xf>
    <xf numFmtId="0" fontId="11" fillId="0" borderId="138" xfId="126" applyFont="1" applyBorder="1" applyAlignment="1">
      <alignment horizontal="center" vertical="center"/>
    </xf>
    <xf numFmtId="0" fontId="11" fillId="0" borderId="139" xfId="126" applyFont="1" applyBorder="1" applyAlignment="1">
      <alignment horizontal="center" vertical="center"/>
    </xf>
    <xf numFmtId="0" fontId="11" fillId="0" borderId="130" xfId="126" applyFont="1" applyBorder="1" applyAlignment="1">
      <alignment horizontal="center" vertical="center"/>
    </xf>
    <xf numFmtId="0" fontId="15" fillId="45" borderId="0" xfId="127" applyFont="1" applyFill="1" applyAlignment="1" applyProtection="1">
      <alignment horizontal="left" vertical="center"/>
      <protection locked="0"/>
    </xf>
    <xf numFmtId="0" fontId="15" fillId="45" borderId="0" xfId="127" applyFont="1" applyFill="1" applyAlignment="1" applyProtection="1">
      <alignment horizontal="center" vertical="center"/>
      <protection locked="0"/>
    </xf>
    <xf numFmtId="0" fontId="15" fillId="45" borderId="0" xfId="127" applyFont="1" applyFill="1" applyAlignment="1" applyProtection="1">
      <alignment horizontal="center" vertical="center" shrinkToFit="1"/>
      <protection locked="0"/>
    </xf>
    <xf numFmtId="0" fontId="56" fillId="0" borderId="0" xfId="131" applyFont="1" applyAlignment="1">
      <alignment horizontal="right" vertical="center"/>
    </xf>
    <xf numFmtId="0" fontId="51" fillId="0" borderId="0" xfId="131" applyFont="1" applyAlignment="1">
      <alignment horizontal="center" vertical="center"/>
    </xf>
    <xf numFmtId="0" fontId="86" fillId="0" borderId="0" xfId="131" applyFont="1" applyAlignment="1">
      <alignment horizontal="center" vertical="center" wrapText="1"/>
    </xf>
    <xf numFmtId="0" fontId="86" fillId="0" borderId="0" xfId="131" applyFont="1" applyAlignment="1">
      <alignment horizontal="center" vertical="center"/>
    </xf>
    <xf numFmtId="0" fontId="87" fillId="40" borderId="21" xfId="131" applyFont="1" applyFill="1" applyBorder="1" applyAlignment="1">
      <alignment horizontal="center" vertical="center"/>
    </xf>
    <xf numFmtId="0" fontId="87" fillId="40" borderId="49" xfId="131" applyFont="1" applyFill="1" applyBorder="1" applyAlignment="1">
      <alignment horizontal="center" vertical="center"/>
    </xf>
    <xf numFmtId="0" fontId="87" fillId="40" borderId="32" xfId="131" applyFont="1" applyFill="1" applyBorder="1" applyAlignment="1">
      <alignment horizontal="center" vertical="center"/>
    </xf>
    <xf numFmtId="0" fontId="49" fillId="0" borderId="51" xfId="131" applyFont="1" applyBorder="1" applyAlignment="1">
      <alignment horizontal="distributed" vertical="center" wrapText="1"/>
    </xf>
    <xf numFmtId="0" fontId="51" fillId="44" borderId="51" xfId="131" applyFont="1" applyFill="1" applyBorder="1" applyAlignment="1" applyProtection="1">
      <alignment horizontal="center" vertical="center" shrinkToFit="1"/>
      <protection locked="0"/>
    </xf>
    <xf numFmtId="0" fontId="49" fillId="0" borderId="49" xfId="131" applyFont="1" applyBorder="1" applyAlignment="1">
      <alignment horizontal="distributed" vertical="center" wrapText="1"/>
    </xf>
    <xf numFmtId="0" fontId="51" fillId="44" borderId="49" xfId="131" applyFont="1" applyFill="1" applyBorder="1" applyAlignment="1" applyProtection="1">
      <alignment horizontal="center" vertical="center" shrinkToFit="1"/>
      <protection locked="0"/>
    </xf>
    <xf numFmtId="0" fontId="87" fillId="0" borderId="21" xfId="131" applyFont="1" applyBorder="1" applyAlignment="1">
      <alignment horizontal="center" vertical="center"/>
    </xf>
    <xf numFmtId="0" fontId="87" fillId="0" borderId="49" xfId="131" applyFont="1" applyBorder="1" applyAlignment="1">
      <alignment horizontal="center" vertical="center"/>
    </xf>
    <xf numFmtId="0" fontId="87" fillId="0" borderId="32" xfId="131" applyFont="1" applyBorder="1" applyAlignment="1">
      <alignment horizontal="center" vertical="center"/>
    </xf>
    <xf numFmtId="0" fontId="56" fillId="0" borderId="307" xfId="131" applyFont="1" applyBorder="1" applyAlignment="1">
      <alignment horizontal="center" vertical="center"/>
    </xf>
    <xf numFmtId="0" fontId="56" fillId="0" borderId="308" xfId="131" applyFont="1" applyBorder="1" applyAlignment="1">
      <alignment horizontal="center" vertical="center"/>
    </xf>
    <xf numFmtId="0" fontId="56" fillId="0" borderId="309" xfId="131" applyFont="1" applyBorder="1" applyAlignment="1">
      <alignment horizontal="center" vertical="center"/>
    </xf>
    <xf numFmtId="0" fontId="56" fillId="0" borderId="310" xfId="131" applyFont="1" applyBorder="1" applyAlignment="1">
      <alignment horizontal="center" vertical="center"/>
    </xf>
    <xf numFmtId="0" fontId="56" fillId="0" borderId="311" xfId="131" applyFont="1" applyBorder="1" applyAlignment="1">
      <alignment horizontal="center" vertical="center"/>
    </xf>
    <xf numFmtId="0" fontId="56" fillId="0" borderId="312" xfId="131" applyFont="1" applyBorder="1" applyAlignment="1">
      <alignment horizontal="center" vertical="center"/>
    </xf>
    <xf numFmtId="0" fontId="56" fillId="0" borderId="313" xfId="131" applyFont="1" applyBorder="1" applyAlignment="1">
      <alignment horizontal="center" vertical="center"/>
    </xf>
    <xf numFmtId="0" fontId="56" fillId="0" borderId="314" xfId="131" applyFont="1" applyBorder="1" applyAlignment="1">
      <alignment horizontal="center" vertical="center"/>
    </xf>
    <xf numFmtId="0" fontId="88" fillId="0" borderId="315" xfId="131" applyFont="1" applyBorder="1" applyAlignment="1">
      <alignment horizontal="center" vertical="center" wrapText="1"/>
    </xf>
    <xf numFmtId="0" fontId="88" fillId="0" borderId="74" xfId="131" applyFont="1" applyBorder="1" applyAlignment="1">
      <alignment horizontal="center" vertical="center" wrapText="1"/>
    </xf>
    <xf numFmtId="0" fontId="88" fillId="0" borderId="316" xfId="131" applyFont="1" applyBorder="1" applyAlignment="1">
      <alignment horizontal="center" vertical="center" wrapText="1"/>
    </xf>
    <xf numFmtId="0" fontId="88" fillId="0" borderId="317" xfId="131" applyFont="1" applyBorder="1" applyAlignment="1">
      <alignment horizontal="center" vertical="center" wrapText="1"/>
    </xf>
    <xf numFmtId="0" fontId="89" fillId="42" borderId="21" xfId="131" applyFont="1" applyFill="1" applyBorder="1" applyAlignment="1">
      <alignment horizontal="left" vertical="center"/>
    </xf>
    <xf numFmtId="0" fontId="89" fillId="42" borderId="49" xfId="131" applyFont="1" applyFill="1" applyBorder="1" applyAlignment="1">
      <alignment horizontal="left" vertical="center"/>
    </xf>
    <xf numFmtId="0" fontId="53" fillId="0" borderId="278" xfId="122" applyBorder="1" applyAlignment="1">
      <alignment horizontal="center" vertical="center"/>
    </xf>
    <xf numFmtId="0" fontId="53" fillId="0" borderId="279" xfId="122" applyBorder="1" applyAlignment="1">
      <alignment horizontal="center" vertical="center"/>
    </xf>
    <xf numFmtId="0" fontId="53" fillId="0" borderId="280" xfId="122" applyBorder="1" applyAlignment="1">
      <alignment horizontal="center" vertical="center"/>
    </xf>
    <xf numFmtId="0" fontId="89" fillId="42" borderId="318" xfId="131" applyFont="1" applyFill="1" applyBorder="1" applyAlignment="1">
      <alignment horizontal="left" vertical="center"/>
    </xf>
    <xf numFmtId="0" fontId="89" fillId="42" borderId="319" xfId="131" applyFont="1" applyFill="1" applyBorder="1" applyAlignment="1">
      <alignment horizontal="left" vertical="center"/>
    </xf>
    <xf numFmtId="0" fontId="107" fillId="0" borderId="11" xfId="131" applyFont="1" applyBorder="1" applyAlignment="1">
      <alignment horizontal="left" vertical="center"/>
    </xf>
    <xf numFmtId="0" fontId="107" fillId="0" borderId="0" xfId="131" applyFont="1" applyAlignment="1">
      <alignment horizontal="left" vertical="center"/>
    </xf>
    <xf numFmtId="0" fontId="107" fillId="0" borderId="15" xfId="131" applyFont="1" applyBorder="1" applyAlignment="1">
      <alignment horizontal="left" vertical="center"/>
    </xf>
    <xf numFmtId="0" fontId="107" fillId="0" borderId="11" xfId="131" applyFont="1" applyBorder="1" applyAlignment="1">
      <alignment horizontal="left" vertical="center" wrapText="1"/>
    </xf>
    <xf numFmtId="0" fontId="107" fillId="0" borderId="0" xfId="131" applyFont="1" applyAlignment="1">
      <alignment horizontal="left" vertical="center" wrapText="1"/>
    </xf>
    <xf numFmtId="0" fontId="107" fillId="0" borderId="15" xfId="131" applyFont="1" applyBorder="1" applyAlignment="1">
      <alignment horizontal="left" vertical="center" wrapText="1"/>
    </xf>
    <xf numFmtId="0" fontId="107" fillId="0" borderId="25" xfId="131" applyFont="1" applyBorder="1" applyAlignment="1">
      <alignment horizontal="left" vertical="center" wrapText="1"/>
    </xf>
    <xf numFmtId="0" fontId="107" fillId="0" borderId="31" xfId="131" applyFont="1" applyBorder="1" applyAlignment="1">
      <alignment horizontal="left" vertical="center" wrapText="1"/>
    </xf>
    <xf numFmtId="0" fontId="107" fillId="0" borderId="41" xfId="131" applyFont="1" applyBorder="1" applyAlignment="1">
      <alignment horizontal="left" vertical="center" wrapText="1"/>
    </xf>
    <xf numFmtId="0" fontId="107" fillId="0" borderId="51" xfId="131" applyFont="1" applyBorder="1" applyAlignment="1">
      <alignment horizontal="left" vertical="center"/>
    </xf>
    <xf numFmtId="0" fontId="109" fillId="0" borderId="0" xfId="131" applyFont="1" applyAlignment="1">
      <alignment horizontal="center" vertical="center"/>
    </xf>
    <xf numFmtId="0" fontId="109" fillId="0" borderId="15" xfId="131" applyFont="1" applyBorder="1" applyAlignment="1">
      <alignment horizontal="center" vertical="center"/>
    </xf>
    <xf numFmtId="0" fontId="84" fillId="0" borderId="21" xfId="131" applyFont="1" applyBorder="1" applyAlignment="1">
      <alignment horizontal="center" vertical="center"/>
    </xf>
    <xf numFmtId="0" fontId="84" fillId="0" borderId="49" xfId="131" applyFont="1" applyBorder="1" applyAlignment="1">
      <alignment horizontal="center" vertical="center"/>
    </xf>
    <xf numFmtId="0" fontId="84" fillId="0" borderId="32" xfId="131" applyFont="1" applyBorder="1" applyAlignment="1">
      <alignment horizontal="center" vertical="center"/>
    </xf>
    <xf numFmtId="0" fontId="100" fillId="0" borderId="0" xfId="131" applyFont="1" applyAlignment="1">
      <alignment horizontal="left" vertical="center"/>
    </xf>
    <xf numFmtId="0" fontId="100" fillId="0" borderId="15" xfId="131" applyFont="1" applyBorder="1" applyAlignment="1">
      <alignment horizontal="left" vertical="center"/>
    </xf>
    <xf numFmtId="0" fontId="56" fillId="0" borderId="10" xfId="131" applyFont="1" applyBorder="1" applyAlignment="1">
      <alignment horizontal="center" vertical="center"/>
    </xf>
    <xf numFmtId="0" fontId="56" fillId="0" borderId="127" xfId="131" applyFont="1" applyBorder="1" applyAlignment="1">
      <alignment horizontal="center" vertical="center"/>
    </xf>
    <xf numFmtId="0" fontId="56" fillId="0" borderId="14" xfId="131" applyFont="1" applyBorder="1" applyAlignment="1">
      <alignment horizontal="center" vertical="center"/>
    </xf>
    <xf numFmtId="0" fontId="56" fillId="0" borderId="11" xfId="131" applyFont="1" applyBorder="1" applyAlignment="1">
      <alignment horizontal="center" vertical="center"/>
    </xf>
    <xf numFmtId="0" fontId="56" fillId="0" borderId="0" xfId="131" applyFont="1" applyAlignment="1">
      <alignment horizontal="center" vertical="center"/>
    </xf>
    <xf numFmtId="0" fontId="56" fillId="0" borderId="15" xfId="131" applyFont="1" applyBorder="1" applyAlignment="1">
      <alignment horizontal="center" vertical="center"/>
    </xf>
    <xf numFmtId="0" fontId="56" fillId="0" borderId="12" xfId="131" applyFont="1" applyBorder="1" applyAlignment="1">
      <alignment horizontal="center" vertical="center"/>
    </xf>
    <xf numFmtId="0" fontId="56" fillId="0" borderId="51" xfId="131" applyFont="1" applyBorder="1" applyAlignment="1">
      <alignment horizontal="center" vertical="center"/>
    </xf>
    <xf numFmtId="0" fontId="56" fillId="0" borderId="22" xfId="131" applyFont="1" applyBorder="1" applyAlignment="1">
      <alignment horizontal="center" vertical="center"/>
    </xf>
    <xf numFmtId="0" fontId="100" fillId="0" borderId="0" xfId="131" applyFont="1" applyAlignment="1">
      <alignment horizontal="left" vertical="center" wrapText="1"/>
    </xf>
    <xf numFmtId="0" fontId="100" fillId="0" borderId="15" xfId="131" applyFont="1" applyBorder="1" applyAlignment="1">
      <alignment horizontal="left" vertical="center" wrapText="1"/>
    </xf>
    <xf numFmtId="0" fontId="62" fillId="0" borderId="49" xfId="131" applyFont="1" applyBorder="1" applyAlignment="1">
      <alignment horizontal="center" vertical="center" wrapText="1"/>
    </xf>
    <xf numFmtId="0" fontId="62" fillId="0" borderId="32" xfId="131" applyFont="1" applyBorder="1" applyAlignment="1">
      <alignment horizontal="center" vertical="center" wrapText="1"/>
    </xf>
    <xf numFmtId="0" fontId="56" fillId="0" borderId="10" xfId="131" applyFont="1" applyBorder="1" applyAlignment="1">
      <alignment horizontal="left" vertical="center" shrinkToFit="1"/>
    </xf>
    <xf numFmtId="0" fontId="56" fillId="0" borderId="127" xfId="131" applyFont="1" applyBorder="1" applyAlignment="1">
      <alignment horizontal="left" vertical="center" shrinkToFit="1"/>
    </xf>
    <xf numFmtId="0" fontId="56" fillId="0" borderId="49" xfId="131" applyFont="1" applyBorder="1" applyAlignment="1">
      <alignment horizontal="center" vertical="center"/>
    </xf>
    <xf numFmtId="0" fontId="56" fillId="0" borderId="21" xfId="131" applyFont="1" applyBorder="1" applyAlignment="1">
      <alignment horizontal="left" vertical="center" shrinkToFit="1"/>
    </xf>
    <xf numFmtId="0" fontId="56" fillId="0" borderId="49" xfId="131" applyFont="1" applyBorder="1" applyAlignment="1">
      <alignment horizontal="left" vertical="center" shrinkToFit="1"/>
    </xf>
    <xf numFmtId="0" fontId="47" fillId="0" borderId="21" xfId="131" applyFont="1" applyBorder="1" applyAlignment="1">
      <alignment horizontal="center" vertical="center" wrapText="1"/>
    </xf>
    <xf numFmtId="0" fontId="47" fillId="0" borderId="49" xfId="131" applyFont="1" applyBorder="1" applyAlignment="1">
      <alignment horizontal="center" vertical="center" wrapText="1"/>
    </xf>
    <xf numFmtId="0" fontId="114" fillId="0" borderId="49" xfId="122" applyFont="1" applyBorder="1" applyAlignment="1">
      <alignment horizontal="center" vertical="center" wrapText="1"/>
    </xf>
    <xf numFmtId="0" fontId="114" fillId="0" borderId="32" xfId="122" applyFont="1" applyBorder="1" applyAlignment="1">
      <alignment horizontal="center" vertical="center" wrapText="1"/>
    </xf>
    <xf numFmtId="0" fontId="112" fillId="0" borderId="155" xfId="131" applyFont="1" applyBorder="1" applyAlignment="1">
      <alignment horizontal="center" vertical="center" wrapText="1"/>
    </xf>
    <xf numFmtId="0" fontId="112" fillId="0" borderId="156" xfId="131" applyFont="1" applyBorder="1" applyAlignment="1">
      <alignment horizontal="center" vertical="center" wrapText="1"/>
    </xf>
    <xf numFmtId="0" fontId="112" fillId="0" borderId="157" xfId="131" applyFont="1" applyBorder="1" applyAlignment="1">
      <alignment horizontal="center" vertical="center" wrapText="1"/>
    </xf>
    <xf numFmtId="0" fontId="112" fillId="0" borderId="160" xfId="131" applyFont="1" applyBorder="1" applyAlignment="1">
      <alignment horizontal="center" vertical="center" wrapText="1"/>
    </xf>
    <xf numFmtId="0" fontId="112" fillId="0" borderId="154" xfId="131" applyFont="1" applyBorder="1" applyAlignment="1">
      <alignment horizontal="center" vertical="center" wrapText="1"/>
    </xf>
    <xf numFmtId="0" fontId="112" fillId="0" borderId="161" xfId="131" applyFont="1" applyBorder="1" applyAlignment="1">
      <alignment horizontal="center" vertical="center" wrapText="1"/>
    </xf>
    <xf numFmtId="0" fontId="51" fillId="44" borderId="49" xfId="131" applyFont="1" applyFill="1" applyBorder="1" applyAlignment="1" applyProtection="1">
      <alignment horizontal="left" vertical="center" indent="1"/>
      <protection locked="0"/>
    </xf>
    <xf numFmtId="0" fontId="51" fillId="45" borderId="49" xfId="131" applyFont="1" applyFill="1" applyBorder="1" applyAlignment="1" applyProtection="1">
      <alignment horizontal="left" vertical="center" wrapText="1"/>
      <protection locked="0"/>
    </xf>
    <xf numFmtId="0" fontId="51" fillId="44" borderId="49" xfId="131" applyFont="1" applyFill="1" applyBorder="1" applyAlignment="1" applyProtection="1">
      <alignment horizontal="left" vertical="center" shrinkToFit="1"/>
      <protection locked="0"/>
    </xf>
    <xf numFmtId="0" fontId="56" fillId="44" borderId="49" xfId="131" applyFont="1" applyFill="1" applyBorder="1" applyAlignment="1" applyProtection="1">
      <alignment horizontal="left" vertical="center" shrinkToFit="1"/>
      <protection locked="0"/>
    </xf>
    <xf numFmtId="0" fontId="51" fillId="0" borderId="51" xfId="131" applyFont="1" applyBorder="1" applyAlignment="1">
      <alignment horizontal="left" vertical="center"/>
    </xf>
    <xf numFmtId="0" fontId="51" fillId="0" borderId="51" xfId="131" applyFont="1" applyBorder="1">
      <alignment vertical="center"/>
    </xf>
    <xf numFmtId="0" fontId="100" fillId="0" borderId="51" xfId="131" applyFont="1" applyBorder="1" applyAlignment="1">
      <alignment horizontal="center" vertical="center"/>
    </xf>
    <xf numFmtId="0" fontId="51" fillId="44" borderId="49" xfId="131" applyFont="1" applyFill="1" applyBorder="1" applyAlignment="1" applyProtection="1">
      <alignment horizontal="left" vertical="center" indent="1" shrinkToFit="1"/>
      <protection locked="0"/>
    </xf>
    <xf numFmtId="0" fontId="85" fillId="0" borderId="0" xfId="131" applyFont="1" applyAlignment="1">
      <alignment horizontal="center" vertical="center"/>
    </xf>
    <xf numFmtId="0" fontId="100" fillId="0" borderId="158" xfId="131" applyFont="1" applyBorder="1" applyAlignment="1">
      <alignment horizontal="left" vertical="center" wrapText="1"/>
    </xf>
    <xf numFmtId="0" fontId="100" fillId="0" borderId="159" xfId="131" applyFont="1" applyBorder="1" applyAlignment="1">
      <alignment horizontal="left" vertical="center" wrapText="1"/>
    </xf>
    <xf numFmtId="0" fontId="55" fillId="0" borderId="0" xfId="131" applyFont="1" applyAlignment="1">
      <alignment horizontal="left" vertical="center"/>
    </xf>
    <xf numFmtId="0" fontId="91" fillId="0" borderId="0" xfId="131" applyFont="1" applyAlignment="1">
      <alignment horizontal="center" vertical="center"/>
    </xf>
    <xf numFmtId="0" fontId="55" fillId="0" borderId="0" xfId="120" applyFont="1" applyAlignment="1">
      <alignment horizontal="center" vertical="center"/>
    </xf>
    <xf numFmtId="0" fontId="55" fillId="0" borderId="0" xfId="120" applyFont="1" applyAlignment="1">
      <alignment horizontal="left" vertical="center" wrapText="1"/>
    </xf>
    <xf numFmtId="0" fontId="100" fillId="0" borderId="0" xfId="131" applyFont="1" applyAlignment="1">
      <alignment horizontal="right" vertical="center"/>
    </xf>
    <xf numFmtId="0" fontId="55" fillId="45" borderId="0" xfId="131" applyFont="1" applyFill="1" applyAlignment="1" applyProtection="1">
      <alignment horizontal="left" vertical="top" wrapText="1"/>
      <protection locked="0"/>
    </xf>
    <xf numFmtId="0" fontId="55" fillId="45" borderId="51" xfId="131" applyFont="1" applyFill="1" applyBorder="1" applyAlignment="1" applyProtection="1">
      <alignment horizontal="left" vertical="top" wrapText="1"/>
      <protection locked="0"/>
    </xf>
    <xf numFmtId="0" fontId="55" fillId="0" borderId="13" xfId="131" applyFont="1" applyBorder="1" applyAlignment="1">
      <alignment horizontal="left" vertical="center"/>
    </xf>
    <xf numFmtId="0" fontId="55" fillId="0" borderId="21" xfId="131" applyFont="1" applyBorder="1" applyAlignment="1">
      <alignment horizontal="left" vertical="center"/>
    </xf>
    <xf numFmtId="0" fontId="55" fillId="45" borderId="0" xfId="120" applyFont="1" applyFill="1" applyAlignment="1" applyProtection="1">
      <alignment horizontal="left" vertical="center" shrinkToFit="1"/>
      <protection locked="0"/>
    </xf>
    <xf numFmtId="0" fontId="55" fillId="45" borderId="0" xfId="120" applyFont="1" applyFill="1" applyAlignment="1" applyProtection="1">
      <alignment horizontal="left" vertical="top" wrapText="1"/>
      <protection locked="0"/>
    </xf>
    <xf numFmtId="0" fontId="55" fillId="45" borderId="0" xfId="120" applyFont="1" applyFill="1" applyAlignment="1" applyProtection="1">
      <alignment horizontal="left" vertical="center"/>
      <protection locked="0"/>
    </xf>
    <xf numFmtId="0" fontId="55" fillId="45" borderId="0" xfId="120" applyFont="1" applyFill="1" applyAlignment="1" applyProtection="1">
      <alignment horizontal="center" vertical="center"/>
      <protection locked="0"/>
    </xf>
    <xf numFmtId="0" fontId="55" fillId="45" borderId="0" xfId="120" applyFont="1" applyFill="1" applyAlignment="1" applyProtection="1">
      <alignment horizontal="center" vertical="center" shrinkToFit="1"/>
      <protection locked="0"/>
    </xf>
    <xf numFmtId="0" fontId="55" fillId="0" borderId="0" xfId="120" applyFont="1" applyAlignment="1" applyProtection="1">
      <alignment horizontal="center" vertical="center" shrinkToFit="1"/>
      <protection locked="0"/>
    </xf>
    <xf numFmtId="0" fontId="55" fillId="45" borderId="0" xfId="120" applyFont="1" applyFill="1" applyAlignment="1">
      <alignment horizontal="left" vertical="center"/>
    </xf>
    <xf numFmtId="0" fontId="55" fillId="0" borderId="0" xfId="120" applyFont="1" applyAlignment="1">
      <alignment horizontal="center" vertical="center" shrinkToFit="1"/>
    </xf>
    <xf numFmtId="0" fontId="55" fillId="0" borderId="0" xfId="120" applyFont="1" applyAlignment="1" applyProtection="1">
      <alignment horizontal="center" vertical="center"/>
      <protection locked="0"/>
    </xf>
    <xf numFmtId="49" fontId="55" fillId="0" borderId="0" xfId="120" applyNumberFormat="1" applyFont="1" applyAlignment="1" applyProtection="1">
      <alignment horizontal="center" vertical="center" shrinkToFit="1"/>
      <protection locked="0"/>
    </xf>
    <xf numFmtId="0" fontId="55" fillId="0" borderId="0" xfId="120" applyFont="1" applyAlignment="1" applyProtection="1">
      <alignment horizontal="left" vertical="center"/>
      <protection locked="0"/>
    </xf>
    <xf numFmtId="49" fontId="55" fillId="0" borderId="0" xfId="120" applyNumberFormat="1" applyFont="1" applyAlignment="1" applyProtection="1">
      <alignment horizontal="left" vertical="center"/>
      <protection locked="0"/>
    </xf>
    <xf numFmtId="0" fontId="55" fillId="0" borderId="0" xfId="120" applyFont="1" applyAlignment="1" applyProtection="1">
      <alignment horizontal="left" vertical="top" wrapText="1"/>
      <protection locked="0"/>
    </xf>
    <xf numFmtId="49" fontId="55" fillId="0" borderId="0" xfId="120" applyNumberFormat="1" applyFont="1" applyAlignment="1" applyProtection="1">
      <alignment horizontal="left" vertical="center" shrinkToFit="1"/>
      <protection locked="0"/>
    </xf>
    <xf numFmtId="0" fontId="55" fillId="45" borderId="0" xfId="120" applyFont="1" applyFill="1" applyAlignment="1" applyProtection="1">
      <alignment horizontal="left" vertical="top" shrinkToFit="1"/>
      <protection locked="0"/>
    </xf>
    <xf numFmtId="0" fontId="55" fillId="45" borderId="0" xfId="131" applyFont="1" applyFill="1" applyAlignment="1" applyProtection="1">
      <alignment horizontal="left" vertical="center"/>
      <protection locked="0"/>
    </xf>
    <xf numFmtId="0" fontId="55" fillId="45" borderId="0" xfId="131" applyFont="1" applyFill="1" applyAlignment="1">
      <alignment horizontal="left" vertical="center"/>
    </xf>
    <xf numFmtId="0" fontId="100" fillId="44" borderId="49" xfId="131" applyFont="1" applyFill="1" applyBorder="1" applyAlignment="1" applyProtection="1">
      <alignment horizontal="center" vertical="center"/>
      <protection locked="0"/>
    </xf>
    <xf numFmtId="182" fontId="100" fillId="44" borderId="49" xfId="131" applyNumberFormat="1" applyFont="1" applyFill="1" applyBorder="1" applyAlignment="1" applyProtection="1">
      <alignment horizontal="center" vertical="center"/>
      <protection locked="0"/>
    </xf>
    <xf numFmtId="0" fontId="55" fillId="0" borderId="49" xfId="131" applyFont="1" applyBorder="1" applyAlignment="1" applyProtection="1">
      <alignment horizontal="left" vertical="center"/>
      <protection locked="0"/>
    </xf>
    <xf numFmtId="0" fontId="55" fillId="0" borderId="0" xfId="131" applyFont="1" applyAlignment="1">
      <alignment horizontal="center" vertical="center"/>
    </xf>
    <xf numFmtId="0" fontId="55" fillId="32" borderId="0" xfId="131" applyFont="1" applyFill="1" applyAlignment="1" applyProtection="1">
      <alignment horizontal="left" vertical="center"/>
      <protection locked="0"/>
    </xf>
    <xf numFmtId="179" fontId="100" fillId="45" borderId="49" xfId="131" applyNumberFormat="1" applyFont="1" applyFill="1" applyBorder="1" applyAlignment="1" applyProtection="1">
      <alignment horizontal="center" vertical="center"/>
      <protection locked="0"/>
    </xf>
    <xf numFmtId="0" fontId="55" fillId="32" borderId="0" xfId="131" applyFont="1" applyFill="1" applyAlignment="1" applyProtection="1">
      <alignment horizontal="left" vertical="top" wrapText="1"/>
      <protection locked="0"/>
    </xf>
    <xf numFmtId="0" fontId="121" fillId="0" borderId="320" xfId="131" applyFont="1" applyBorder="1" applyAlignment="1" applyProtection="1">
      <alignment horizontal="left" vertical="center"/>
      <protection locked="0"/>
    </xf>
    <xf numFmtId="0" fontId="121" fillId="0" borderId="13" xfId="131" applyFont="1" applyBorder="1" applyAlignment="1" applyProtection="1">
      <alignment horizontal="center" vertical="center" wrapText="1"/>
      <protection locked="0"/>
    </xf>
    <xf numFmtId="0" fontId="121" fillId="0" borderId="10" xfId="131" applyFont="1" applyBorder="1" applyAlignment="1" applyProtection="1">
      <alignment horizontal="center" vertical="center" wrapText="1"/>
      <protection locked="0"/>
    </xf>
    <xf numFmtId="0" fontId="121" fillId="0" borderId="127" xfId="131" applyFont="1" applyBorder="1" applyAlignment="1" applyProtection="1">
      <alignment horizontal="center" vertical="center" wrapText="1"/>
      <protection locked="0"/>
    </xf>
    <xf numFmtId="0" fontId="121" fillId="0" borderId="14" xfId="131" applyFont="1" applyBorder="1" applyAlignment="1" applyProtection="1">
      <alignment horizontal="center" vertical="center" wrapText="1"/>
      <protection locked="0"/>
    </xf>
    <xf numFmtId="0" fontId="121" fillId="0" borderId="11" xfId="131" applyFont="1" applyBorder="1" applyAlignment="1" applyProtection="1">
      <alignment horizontal="center" vertical="center" wrapText="1"/>
      <protection locked="0"/>
    </xf>
    <xf numFmtId="0" fontId="121" fillId="0" borderId="0" xfId="131" applyFont="1" applyAlignment="1" applyProtection="1">
      <alignment horizontal="center" vertical="center" wrapText="1"/>
      <protection locked="0"/>
    </xf>
    <xf numFmtId="0" fontId="121" fillId="0" borderId="15" xfId="131" applyFont="1" applyBorder="1" applyAlignment="1" applyProtection="1">
      <alignment horizontal="center" vertical="center" wrapText="1"/>
      <protection locked="0"/>
    </xf>
    <xf numFmtId="0" fontId="121" fillId="0" borderId="12" xfId="131" applyFont="1" applyBorder="1" applyAlignment="1" applyProtection="1">
      <alignment horizontal="center" vertical="center" wrapText="1"/>
      <protection locked="0"/>
    </xf>
    <xf numFmtId="0" fontId="121" fillId="0" borderId="51" xfId="131" applyFont="1" applyBorder="1" applyAlignment="1" applyProtection="1">
      <alignment horizontal="center" vertical="center" wrapText="1"/>
      <protection locked="0"/>
    </xf>
    <xf numFmtId="0" fontId="121" fillId="0" borderId="22" xfId="131" applyFont="1" applyBorder="1" applyAlignment="1" applyProtection="1">
      <alignment horizontal="center" vertical="center" wrapText="1"/>
      <protection locked="0"/>
    </xf>
    <xf numFmtId="0" fontId="121" fillId="0" borderId="13" xfId="131" applyFont="1" applyBorder="1" applyAlignment="1" applyProtection="1">
      <alignment horizontal="left" vertical="top" wrapText="1"/>
      <protection locked="0"/>
    </xf>
    <xf numFmtId="0" fontId="121" fillId="32" borderId="13" xfId="131" applyFont="1" applyFill="1" applyBorder="1" applyAlignment="1" applyProtection="1">
      <alignment horizontal="left" vertical="top" wrapText="1"/>
      <protection locked="0"/>
    </xf>
    <xf numFmtId="0" fontId="55" fillId="0" borderId="0" xfId="131" applyFont="1" applyAlignment="1" applyProtection="1">
      <alignment horizontal="left" vertical="center"/>
      <protection locked="0"/>
    </xf>
    <xf numFmtId="0" fontId="121" fillId="32" borderId="10" xfId="131" applyFont="1" applyFill="1" applyBorder="1" applyAlignment="1" applyProtection="1">
      <alignment horizontal="center" vertical="top" wrapText="1"/>
      <protection locked="0"/>
    </xf>
    <xf numFmtId="0" fontId="121" fillId="32" borderId="127" xfId="131" applyFont="1" applyFill="1" applyBorder="1" applyAlignment="1" applyProtection="1">
      <alignment horizontal="center" vertical="top" wrapText="1"/>
      <protection locked="0"/>
    </xf>
    <xf numFmtId="0" fontId="121" fillId="32" borderId="14" xfId="131" applyFont="1" applyFill="1" applyBorder="1" applyAlignment="1" applyProtection="1">
      <alignment horizontal="center" vertical="top" wrapText="1"/>
      <protection locked="0"/>
    </xf>
    <xf numFmtId="0" fontId="121" fillId="32" borderId="12" xfId="131" applyFont="1" applyFill="1" applyBorder="1" applyAlignment="1" applyProtection="1">
      <alignment horizontal="center" vertical="top" wrapText="1"/>
      <protection locked="0"/>
    </xf>
    <xf numFmtId="0" fontId="121" fillId="32" borderId="51" xfId="131" applyFont="1" applyFill="1" applyBorder="1" applyAlignment="1" applyProtection="1">
      <alignment horizontal="center" vertical="top" wrapText="1"/>
      <protection locked="0"/>
    </xf>
    <xf numFmtId="0" fontId="121" fillId="32" borderId="22" xfId="131" applyFont="1" applyFill="1" applyBorder="1" applyAlignment="1" applyProtection="1">
      <alignment horizontal="center" vertical="top" wrapText="1"/>
      <protection locked="0"/>
    </xf>
    <xf numFmtId="0" fontId="101" fillId="0" borderId="13" xfId="131" applyFont="1" applyBorder="1" applyAlignment="1">
      <alignment horizontal="left" vertical="center" shrinkToFit="1"/>
    </xf>
    <xf numFmtId="0" fontId="100" fillId="45" borderId="0" xfId="131" applyFont="1" applyFill="1" applyAlignment="1" applyProtection="1">
      <alignment horizontal="left" vertical="top" wrapText="1"/>
      <protection locked="0"/>
    </xf>
    <xf numFmtId="0" fontId="100" fillId="0" borderId="13" xfId="131" applyFont="1" applyBorder="1" applyAlignment="1">
      <alignment horizontal="left" vertical="center"/>
    </xf>
    <xf numFmtId="0" fontId="100" fillId="45" borderId="13" xfId="131" applyFont="1" applyFill="1" applyBorder="1" applyAlignment="1" applyProtection="1">
      <alignment horizontal="left" vertical="center" wrapText="1" indent="1"/>
      <protection locked="0"/>
    </xf>
    <xf numFmtId="0" fontId="100" fillId="0" borderId="13" xfId="131" applyFont="1" applyBorder="1" applyAlignment="1">
      <alignment horizontal="left" vertical="center" shrinkToFit="1"/>
    </xf>
    <xf numFmtId="181" fontId="100" fillId="0" borderId="49" xfId="131" applyNumberFormat="1" applyFont="1" applyBorder="1" applyAlignment="1">
      <alignment horizontal="center" vertical="center"/>
    </xf>
    <xf numFmtId="0" fontId="100" fillId="0" borderId="31" xfId="131" applyFont="1" applyBorder="1" applyAlignment="1">
      <alignment horizontal="left" vertical="center"/>
    </xf>
    <xf numFmtId="0" fontId="100" fillId="0" borderId="0" xfId="131" applyFont="1" applyAlignment="1">
      <alignment horizontal="center" vertical="center"/>
    </xf>
    <xf numFmtId="0" fontId="100" fillId="0" borderId="10" xfId="131" applyFont="1" applyBorder="1" applyAlignment="1">
      <alignment horizontal="left" vertical="center"/>
    </xf>
    <xf numFmtId="0" fontId="100" fillId="0" borderId="127" xfId="131" applyFont="1" applyBorder="1" applyAlignment="1">
      <alignment horizontal="left" vertical="center"/>
    </xf>
    <xf numFmtId="0" fontId="100" fillId="0" borderId="14" xfId="131" applyFont="1" applyBorder="1" applyAlignment="1">
      <alignment horizontal="left" vertical="center"/>
    </xf>
    <xf numFmtId="0" fontId="100" fillId="48" borderId="0" xfId="123" applyFont="1" applyFill="1" applyAlignment="1" applyProtection="1">
      <alignment horizontal="left" vertical="top" shrinkToFit="1"/>
      <protection locked="0"/>
    </xf>
    <xf numFmtId="0" fontId="91" fillId="0" borderId="0" xfId="123" applyFont="1" applyAlignment="1">
      <alignment horizontal="center" vertical="center"/>
    </xf>
    <xf numFmtId="189" fontId="100" fillId="0" borderId="0" xfId="123" applyNumberFormat="1" applyFont="1" applyAlignment="1">
      <alignment horizontal="distributed" vertical="center" indent="1"/>
    </xf>
    <xf numFmtId="0" fontId="100" fillId="49" borderId="0" xfId="123" applyFont="1" applyFill="1" applyAlignment="1" applyProtection="1">
      <alignment horizontal="left" vertical="top" wrapText="1"/>
      <protection locked="0"/>
    </xf>
    <xf numFmtId="0" fontId="100" fillId="0" borderId="0" xfId="123" applyFont="1" applyAlignment="1">
      <alignment horizontal="center" vertical="center"/>
    </xf>
    <xf numFmtId="0" fontId="100" fillId="0" borderId="0" xfId="123" applyFont="1" applyAlignment="1">
      <alignment horizontal="left" vertical="center"/>
    </xf>
    <xf numFmtId="0" fontId="101" fillId="0" borderId="0" xfId="123" applyFont="1" applyAlignment="1">
      <alignment horizontal="left" vertical="center"/>
    </xf>
    <xf numFmtId="49" fontId="100" fillId="0" borderId="0" xfId="123" applyNumberFormat="1" applyFont="1" applyAlignment="1" applyProtection="1">
      <alignment horizontal="center" vertical="center"/>
      <protection locked="0"/>
    </xf>
    <xf numFmtId="0" fontId="100" fillId="0" borderId="0" xfId="123" applyFont="1" applyAlignment="1">
      <alignment horizontal="left" vertical="center" wrapText="1"/>
    </xf>
    <xf numFmtId="0" fontId="100" fillId="49" borderId="0" xfId="123" applyFont="1" applyFill="1" applyAlignment="1" applyProtection="1">
      <alignment horizontal="left" vertical="center"/>
      <protection locked="0"/>
    </xf>
    <xf numFmtId="49" fontId="100" fillId="49" borderId="0" xfId="123" applyNumberFormat="1" applyFont="1" applyFill="1" applyAlignment="1" applyProtection="1">
      <alignment horizontal="left" vertical="center"/>
      <protection locked="0"/>
    </xf>
    <xf numFmtId="189" fontId="100" fillId="48" borderId="0" xfId="123" applyNumberFormat="1" applyFont="1" applyFill="1" applyAlignment="1">
      <alignment horizontal="distributed" vertical="center"/>
    </xf>
    <xf numFmtId="0" fontId="100" fillId="49" borderId="0" xfId="123" applyFont="1" applyFill="1" applyAlignment="1">
      <alignment horizontal="left" vertical="top" wrapText="1"/>
    </xf>
    <xf numFmtId="182" fontId="100" fillId="0" borderId="0" xfId="123" applyNumberFormat="1" applyFont="1" applyAlignment="1">
      <alignment horizontal="distributed" vertical="center" indent="1"/>
    </xf>
    <xf numFmtId="0" fontId="55" fillId="49" borderId="0" xfId="120" applyFont="1" applyFill="1" applyAlignment="1" applyProtection="1">
      <alignment horizontal="left" vertical="top" wrapText="1"/>
      <protection locked="0"/>
    </xf>
    <xf numFmtId="182" fontId="101" fillId="49" borderId="0" xfId="123" applyNumberFormat="1" applyFont="1" applyFill="1" applyAlignment="1" applyProtection="1">
      <alignment horizontal="distributed" vertical="center" shrinkToFit="1"/>
      <protection locked="0"/>
    </xf>
    <xf numFmtId="49" fontId="100" fillId="49" borderId="0" xfId="123" applyNumberFormat="1" applyFont="1" applyFill="1" applyAlignment="1" applyProtection="1">
      <alignment horizontal="distributed" vertical="center" shrinkToFit="1"/>
      <protection locked="0"/>
    </xf>
    <xf numFmtId="0" fontId="100" fillId="48" borderId="0" xfId="123" applyFont="1" applyFill="1" applyAlignment="1">
      <alignment horizontal="left" vertical="top" wrapText="1"/>
    </xf>
    <xf numFmtId="0" fontId="101" fillId="49" borderId="0" xfId="123" applyFont="1" applyFill="1" applyAlignment="1">
      <alignment horizontal="center" vertical="top"/>
    </xf>
    <xf numFmtId="0" fontId="101" fillId="49" borderId="51" xfId="123" applyFont="1" applyFill="1" applyBorder="1" applyAlignment="1">
      <alignment horizontal="center" vertical="top"/>
    </xf>
    <xf numFmtId="0" fontId="100" fillId="49" borderId="51" xfId="123" applyFont="1" applyFill="1" applyBorder="1" applyAlignment="1">
      <alignment horizontal="left" vertical="top" wrapText="1"/>
    </xf>
    <xf numFmtId="0" fontId="55" fillId="29" borderId="0" xfId="120" applyFont="1" applyFill="1" applyAlignment="1" applyProtection="1">
      <alignment horizontal="left" vertical="center" shrinkToFit="1"/>
      <protection locked="0"/>
    </xf>
    <xf numFmtId="0" fontId="55" fillId="49" borderId="0" xfId="120" applyFont="1" applyFill="1" applyAlignment="1" applyProtection="1">
      <alignment horizontal="left" vertical="center"/>
      <protection locked="0"/>
    </xf>
    <xf numFmtId="49" fontId="55" fillId="49" borderId="0" xfId="120" applyNumberFormat="1" applyFont="1" applyFill="1" applyAlignment="1" applyProtection="1">
      <alignment horizontal="left" vertical="center"/>
      <protection locked="0"/>
    </xf>
    <xf numFmtId="0" fontId="123" fillId="30" borderId="0" xfId="120" applyFont="1" applyFill="1" applyAlignment="1" applyProtection="1">
      <alignment horizontal="center" vertical="center"/>
      <protection locked="0"/>
    </xf>
    <xf numFmtId="49" fontId="123" fillId="49" borderId="0" xfId="120" applyNumberFormat="1" applyFont="1" applyFill="1" applyAlignment="1" applyProtection="1">
      <alignment horizontal="center" vertical="center" shrinkToFit="1"/>
      <protection locked="0"/>
    </xf>
    <xf numFmtId="0" fontId="121" fillId="0" borderId="0" xfId="120" applyFont="1" applyAlignment="1" applyProtection="1">
      <alignment horizontal="center" vertical="center" shrinkToFit="1"/>
      <protection locked="0"/>
    </xf>
    <xf numFmtId="49" fontId="55" fillId="49" borderId="0" xfId="120" applyNumberFormat="1" applyFont="1" applyFill="1" applyAlignment="1" applyProtection="1">
      <alignment horizontal="left" vertical="center" shrinkToFit="1"/>
      <protection locked="0"/>
    </xf>
    <xf numFmtId="0" fontId="123" fillId="0" borderId="0" xfId="120" applyFont="1" applyAlignment="1" applyProtection="1">
      <alignment horizontal="center" vertical="center"/>
      <protection locked="0"/>
    </xf>
    <xf numFmtId="0" fontId="55" fillId="51" borderId="0" xfId="120" applyFont="1" applyFill="1" applyAlignment="1" applyProtection="1">
      <alignment horizontal="left" vertical="center" shrinkToFit="1"/>
      <protection locked="0"/>
    </xf>
    <xf numFmtId="0" fontId="55" fillId="0" borderId="0" xfId="120" applyFont="1" applyAlignment="1">
      <alignment horizontal="left" vertical="top" wrapText="1"/>
    </xf>
    <xf numFmtId="0" fontId="101" fillId="52" borderId="0" xfId="123" applyFont="1" applyFill="1" applyAlignment="1" applyProtection="1">
      <alignment horizontal="distributed" vertical="center" shrinkToFit="1"/>
      <protection locked="0"/>
    </xf>
    <xf numFmtId="0" fontId="100" fillId="52" borderId="0" xfId="123" applyFont="1" applyFill="1" applyAlignment="1" applyProtection="1">
      <alignment horizontal="distributed" vertical="center" shrinkToFit="1"/>
      <protection locked="0"/>
    </xf>
    <xf numFmtId="182" fontId="101" fillId="49" borderId="0" xfId="123" applyNumberFormat="1" applyFont="1" applyFill="1" applyAlignment="1" applyProtection="1">
      <alignment horizontal="distributed" vertical="center"/>
      <protection locked="0"/>
    </xf>
    <xf numFmtId="0" fontId="100" fillId="0" borderId="0" xfId="123" applyFont="1" applyAlignment="1">
      <alignment horizontal="left" vertical="top" wrapText="1"/>
    </xf>
    <xf numFmtId="49" fontId="100" fillId="49" borderId="0" xfId="123" applyNumberFormat="1" applyFont="1" applyFill="1" applyAlignment="1" applyProtection="1">
      <alignment horizontal="center" vertical="center"/>
      <protection locked="0"/>
    </xf>
    <xf numFmtId="0" fontId="100" fillId="44" borderId="0" xfId="123" applyFont="1" applyFill="1" applyAlignment="1" applyProtection="1">
      <alignment horizontal="center" vertical="center"/>
      <protection locked="0"/>
    </xf>
    <xf numFmtId="182" fontId="101" fillId="44" borderId="0" xfId="123" applyNumberFormat="1" applyFont="1" applyFill="1" applyAlignment="1" applyProtection="1">
      <alignment horizontal="distributed" vertical="center"/>
      <protection locked="0"/>
    </xf>
    <xf numFmtId="182" fontId="101" fillId="48" borderId="0" xfId="123" applyNumberFormat="1" applyFont="1" applyFill="1" applyAlignment="1" applyProtection="1">
      <alignment horizontal="distributed" vertical="center"/>
      <protection locked="0"/>
    </xf>
    <xf numFmtId="0" fontId="100" fillId="49" borderId="0" xfId="123" applyFont="1" applyFill="1" applyAlignment="1" applyProtection="1">
      <alignment horizontal="distributed" vertical="center" shrinkToFit="1"/>
      <protection locked="0"/>
    </xf>
    <xf numFmtId="182" fontId="101" fillId="52" borderId="0" xfId="123" applyNumberFormat="1" applyFont="1" applyFill="1" applyAlignment="1" applyProtection="1">
      <alignment horizontal="distributed" vertical="center" shrinkToFit="1"/>
      <protection locked="0"/>
    </xf>
    <xf numFmtId="0" fontId="14" fillId="32" borderId="0" xfId="133" applyFont="1" applyFill="1" applyAlignment="1" applyProtection="1">
      <alignment horizontal="left" vertical="top" wrapText="1"/>
      <protection locked="0"/>
    </xf>
    <xf numFmtId="0" fontId="14" fillId="32" borderId="31" xfId="133" applyFont="1" applyFill="1" applyBorder="1" applyAlignment="1" applyProtection="1">
      <alignment horizontal="left" vertical="top" wrapText="1"/>
      <protection locked="0"/>
    </xf>
    <xf numFmtId="0" fontId="106" fillId="0" borderId="0" xfId="133" applyFont="1" applyAlignment="1">
      <alignment horizontal="center" vertical="center"/>
    </xf>
    <xf numFmtId="0" fontId="14" fillId="0" borderId="0" xfId="133" applyFont="1" applyAlignment="1">
      <alignment horizontal="right" vertical="center"/>
    </xf>
    <xf numFmtId="49" fontId="14" fillId="32" borderId="0" xfId="133" applyNumberFormat="1" applyFont="1" applyFill="1" applyAlignment="1" applyProtection="1">
      <alignment horizontal="left" vertical="center"/>
      <protection locked="0"/>
    </xf>
    <xf numFmtId="0" fontId="14" fillId="32" borderId="0" xfId="133" applyFont="1" applyFill="1" applyAlignment="1" applyProtection="1">
      <alignment horizontal="left" vertical="center"/>
      <protection locked="0"/>
    </xf>
    <xf numFmtId="0" fontId="14" fillId="0" borderId="0" xfId="133" applyFont="1" applyAlignment="1">
      <alignment horizontal="left" vertical="center" wrapText="1"/>
    </xf>
    <xf numFmtId="0" fontId="14" fillId="0" borderId="0" xfId="133" applyFont="1" applyAlignment="1">
      <alignment horizontal="center" vertical="center"/>
    </xf>
    <xf numFmtId="49" fontId="14" fillId="32" borderId="31" xfId="133" applyNumberFormat="1" applyFont="1" applyFill="1" applyBorder="1" applyAlignment="1" applyProtection="1">
      <alignment horizontal="center" vertical="center"/>
      <protection locked="0"/>
    </xf>
    <xf numFmtId="0" fontId="14" fillId="32" borderId="0" xfId="133" applyFont="1" applyFill="1" applyAlignment="1">
      <alignment horizontal="left" vertical="top" wrapText="1"/>
    </xf>
    <xf numFmtId="0" fontId="14" fillId="32" borderId="31" xfId="133" applyFont="1" applyFill="1" applyBorder="1" applyAlignment="1">
      <alignment horizontal="left" vertical="top" wrapText="1"/>
    </xf>
    <xf numFmtId="0" fontId="14" fillId="0" borderId="0" xfId="133" applyFont="1" applyAlignment="1">
      <alignment horizontal="left" vertical="top" wrapText="1"/>
    </xf>
    <xf numFmtId="0" fontId="14" fillId="32" borderId="0" xfId="133" applyFont="1" applyFill="1" applyAlignment="1">
      <alignment horizontal="left" vertical="center"/>
    </xf>
    <xf numFmtId="49" fontId="14" fillId="32" borderId="0" xfId="133" applyNumberFormat="1" applyFont="1" applyFill="1" applyAlignment="1">
      <alignment horizontal="left" vertical="center"/>
    </xf>
    <xf numFmtId="182" fontId="101" fillId="44" borderId="0" xfId="123" applyNumberFormat="1" applyFont="1" applyFill="1" applyAlignment="1" applyProtection="1">
      <alignment horizontal="center" vertical="center" shrinkToFit="1"/>
      <protection locked="0"/>
    </xf>
    <xf numFmtId="0" fontId="100" fillId="44" borderId="0" xfId="123" applyFont="1" applyFill="1" applyAlignment="1" applyProtection="1">
      <alignment horizontal="distributed" vertical="center" shrinkToFit="1"/>
      <protection locked="0"/>
    </xf>
    <xf numFmtId="0" fontId="100" fillId="0" borderId="0" xfId="123" applyFont="1" applyAlignment="1">
      <alignment horizontal="right" vertical="center"/>
    </xf>
    <xf numFmtId="0" fontId="100" fillId="45" borderId="0" xfId="123" applyFont="1" applyFill="1" applyAlignment="1" applyProtection="1">
      <alignment horizontal="left" vertical="top" wrapText="1"/>
      <protection locked="0"/>
    </xf>
    <xf numFmtId="0" fontId="100" fillId="45" borderId="0" xfId="123" applyFont="1" applyFill="1" applyAlignment="1" applyProtection="1">
      <alignment horizontal="left" vertical="center"/>
      <protection locked="0"/>
    </xf>
    <xf numFmtId="0" fontId="100" fillId="32" borderId="0" xfId="123" applyFont="1" applyFill="1" applyAlignment="1" applyProtection="1">
      <alignment horizontal="left" vertical="top" wrapText="1"/>
      <protection locked="0"/>
    </xf>
    <xf numFmtId="0" fontId="100" fillId="32" borderId="0" xfId="123" applyFont="1" applyFill="1" applyAlignment="1" applyProtection="1">
      <alignment horizontal="left" vertical="center"/>
      <protection locked="0"/>
    </xf>
    <xf numFmtId="49" fontId="100" fillId="32" borderId="0" xfId="123" applyNumberFormat="1" applyFont="1" applyFill="1" applyAlignment="1" applyProtection="1">
      <alignment horizontal="left" vertical="center"/>
      <protection locked="0"/>
    </xf>
    <xf numFmtId="0" fontId="100" fillId="45" borderId="31" xfId="123" applyFont="1" applyFill="1" applyBorder="1" applyAlignment="1" applyProtection="1">
      <alignment horizontal="left" vertical="top" wrapText="1"/>
      <protection locked="0"/>
    </xf>
    <xf numFmtId="0" fontId="100" fillId="32" borderId="0" xfId="123" applyFont="1" applyFill="1" applyAlignment="1">
      <alignment horizontal="left" vertical="top" wrapText="1"/>
    </xf>
    <xf numFmtId="0" fontId="100" fillId="32" borderId="31" xfId="123" applyFont="1" applyFill="1" applyBorder="1" applyAlignment="1">
      <alignment horizontal="left" vertical="top" wrapText="1"/>
    </xf>
    <xf numFmtId="0" fontId="100" fillId="0" borderId="13" xfId="123" applyFont="1" applyBorder="1" applyAlignment="1">
      <alignment horizontal="center" vertical="center"/>
    </xf>
    <xf numFmtId="0" fontId="100" fillId="0" borderId="13" xfId="123" applyFont="1" applyBorder="1" applyAlignment="1">
      <alignment horizontal="center" vertical="center" textRotation="255"/>
    </xf>
    <xf numFmtId="0" fontId="100" fillId="44" borderId="0" xfId="123" applyFont="1" applyFill="1" applyAlignment="1" applyProtection="1">
      <alignment horizontal="left" vertical="top" wrapText="1"/>
      <protection locked="0"/>
    </xf>
  </cellXfs>
  <cellStyles count="149">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ハイパーリンク 2" xfId="134" xr:uid="{00000000-0005-0000-0000-00001F000000}"/>
    <cellStyle name="ハイパーリンク 2 2" xfId="122" xr:uid="{00000000-0005-0000-0000-000020000000}"/>
    <cellStyle name="ハイパーリンク 2 2 2" xfId="141" xr:uid="{00000000-0005-0000-0000-000021000000}"/>
    <cellStyle name="ハイパーリンク 3" xfId="124" xr:uid="{00000000-0005-0000-0000-000022000000}"/>
    <cellStyle name="ハイパーリンク 3 2" xfId="138" xr:uid="{00000000-0005-0000-0000-000023000000}"/>
    <cellStyle name="メモ 2" xfId="33" xr:uid="{00000000-0005-0000-0000-000024000000}"/>
    <cellStyle name="リンク セル 2" xfId="34" xr:uid="{00000000-0005-0000-0000-000025000000}"/>
    <cellStyle name="悪い 2" xfId="35" xr:uid="{00000000-0005-0000-0000-000026000000}"/>
    <cellStyle name="計算 2" xfId="36" xr:uid="{00000000-0005-0000-0000-000027000000}"/>
    <cellStyle name="警告文 2" xfId="37" xr:uid="{00000000-0005-0000-0000-000028000000}"/>
    <cellStyle name="桁区切り 2" xfId="38" xr:uid="{00000000-0005-0000-0000-000029000000}"/>
    <cellStyle name="見出し 1 2" xfId="39" xr:uid="{00000000-0005-0000-0000-00002A000000}"/>
    <cellStyle name="見出し 2 2" xfId="40" xr:uid="{00000000-0005-0000-0000-00002B000000}"/>
    <cellStyle name="見出し 3 2" xfId="41" xr:uid="{00000000-0005-0000-0000-00002C000000}"/>
    <cellStyle name="見出し 4 2" xfId="42" xr:uid="{00000000-0005-0000-0000-00002D000000}"/>
    <cellStyle name="集計 2" xfId="43" xr:uid="{00000000-0005-0000-0000-00002E000000}"/>
    <cellStyle name="出力 2" xfId="44" xr:uid="{00000000-0005-0000-0000-00002F000000}"/>
    <cellStyle name="説明文 2" xfId="45" xr:uid="{00000000-0005-0000-0000-000030000000}"/>
    <cellStyle name="通貨 2" xfId="47" xr:uid="{00000000-0005-0000-0000-000031000000}"/>
    <cellStyle name="通貨 2 2" xfId="61" xr:uid="{00000000-0005-0000-0000-000032000000}"/>
    <cellStyle name="通貨 2 2 2" xfId="62" xr:uid="{00000000-0005-0000-0000-000033000000}"/>
    <cellStyle name="通貨 2 2 3" xfId="63" xr:uid="{00000000-0005-0000-0000-000034000000}"/>
    <cellStyle name="通貨 2 3" xfId="64" xr:uid="{00000000-0005-0000-0000-000035000000}"/>
    <cellStyle name="通貨 2 4" xfId="65" xr:uid="{00000000-0005-0000-0000-000036000000}"/>
    <cellStyle name="通貨 2 5" xfId="66" xr:uid="{00000000-0005-0000-0000-000037000000}"/>
    <cellStyle name="通貨 2 6" xfId="67" xr:uid="{00000000-0005-0000-0000-000038000000}"/>
    <cellStyle name="通貨 3" xfId="46" xr:uid="{00000000-0005-0000-0000-000039000000}"/>
    <cellStyle name="通貨 3 2" xfId="68" xr:uid="{00000000-0005-0000-0000-00003A000000}"/>
    <cellStyle name="入力 2" xfId="48" xr:uid="{00000000-0005-0000-0000-00003B000000}"/>
    <cellStyle name="標準" xfId="0" builtinId="0"/>
    <cellStyle name="標準 10" xfId="69" xr:uid="{00000000-0005-0000-0000-00003D000000}"/>
    <cellStyle name="標準 10 2" xfId="126" xr:uid="{00000000-0005-0000-0000-00003E000000}"/>
    <cellStyle name="標準 10 2 2" xfId="133" xr:uid="{00000000-0005-0000-0000-00003F000000}"/>
    <cellStyle name="標準 10 2 2 2" xfId="123" xr:uid="{00000000-0005-0000-0000-000040000000}"/>
    <cellStyle name="標準 10 2 2 2 2" xfId="143" xr:uid="{00000000-0005-0000-0000-000041000000}"/>
    <cellStyle name="標準 10 2 3" xfId="128" xr:uid="{00000000-0005-0000-0000-000042000000}"/>
    <cellStyle name="標準 10 2 3 2" xfId="137" xr:uid="{00000000-0005-0000-0000-000043000000}"/>
    <cellStyle name="標準 11" xfId="70" xr:uid="{00000000-0005-0000-0000-000044000000}"/>
    <cellStyle name="標準 12" xfId="71" xr:uid="{00000000-0005-0000-0000-000045000000}"/>
    <cellStyle name="標準 13" xfId="72" xr:uid="{00000000-0005-0000-0000-000046000000}"/>
    <cellStyle name="標準 14" xfId="73" xr:uid="{00000000-0005-0000-0000-000047000000}"/>
    <cellStyle name="標準 15" xfId="74" xr:uid="{00000000-0005-0000-0000-000048000000}"/>
    <cellStyle name="標準 15 2" xfId="130" xr:uid="{00000000-0005-0000-0000-000049000000}"/>
    <cellStyle name="標準 15 2 2" xfId="139" xr:uid="{00000000-0005-0000-0000-00004A000000}"/>
    <cellStyle name="標準 16" xfId="75" xr:uid="{00000000-0005-0000-0000-00004B000000}"/>
    <cellStyle name="標準 17" xfId="76" xr:uid="{00000000-0005-0000-0000-00004C000000}"/>
    <cellStyle name="標準 18" xfId="77" xr:uid="{00000000-0005-0000-0000-00004D000000}"/>
    <cellStyle name="標準 19" xfId="78" xr:uid="{00000000-0005-0000-0000-00004E000000}"/>
    <cellStyle name="標準 2" xfId="1" xr:uid="{00000000-0005-0000-0000-00004F000000}"/>
    <cellStyle name="標準 2 2" xfId="50" xr:uid="{00000000-0005-0000-0000-000050000000}"/>
    <cellStyle name="標準 2 3" xfId="51" xr:uid="{00000000-0005-0000-0000-000051000000}"/>
    <cellStyle name="標準 2 3 2" xfId="79" xr:uid="{00000000-0005-0000-0000-000052000000}"/>
    <cellStyle name="標準 2 4" xfId="49" xr:uid="{00000000-0005-0000-0000-000053000000}"/>
    <cellStyle name="標準 2 5" xfId="80" xr:uid="{00000000-0005-0000-0000-000054000000}"/>
    <cellStyle name="標準 2 5 2" xfId="129" xr:uid="{00000000-0005-0000-0000-000055000000}"/>
    <cellStyle name="標準 2 5 2 2" xfId="146" xr:uid="{00000000-0005-0000-0000-000056000000}"/>
    <cellStyle name="標準 2 6" xfId="135" xr:uid="{00000000-0005-0000-0000-000057000000}"/>
    <cellStyle name="標準 2 6 2" xfId="132" xr:uid="{00000000-0005-0000-0000-000058000000}"/>
    <cellStyle name="標準 20" xfId="81" xr:uid="{00000000-0005-0000-0000-000059000000}"/>
    <cellStyle name="標準 21" xfId="82" xr:uid="{00000000-0005-0000-0000-00005A000000}"/>
    <cellStyle name="標準 22" xfId="83" xr:uid="{00000000-0005-0000-0000-00005B000000}"/>
    <cellStyle name="標準 23" xfId="84" xr:uid="{00000000-0005-0000-0000-00005C000000}"/>
    <cellStyle name="標準 24" xfId="85" xr:uid="{00000000-0005-0000-0000-00005D000000}"/>
    <cellStyle name="標準 25" xfId="86" xr:uid="{00000000-0005-0000-0000-00005E000000}"/>
    <cellStyle name="標準 26" xfId="87" xr:uid="{00000000-0005-0000-0000-00005F000000}"/>
    <cellStyle name="標準 27" xfId="88" xr:uid="{00000000-0005-0000-0000-000060000000}"/>
    <cellStyle name="標準 28" xfId="89" xr:uid="{00000000-0005-0000-0000-000061000000}"/>
    <cellStyle name="標準 29" xfId="90" xr:uid="{00000000-0005-0000-0000-000062000000}"/>
    <cellStyle name="標準 3" xfId="52" xr:uid="{00000000-0005-0000-0000-000063000000}"/>
    <cellStyle name="標準 3 2" xfId="56" xr:uid="{00000000-0005-0000-0000-000064000000}"/>
    <cellStyle name="標準 3 3" xfId="127" xr:uid="{00000000-0005-0000-0000-000065000000}"/>
    <cellStyle name="標準 3 3 2" xfId="120" xr:uid="{00000000-0005-0000-0000-000066000000}"/>
    <cellStyle name="標準 3 3 2 2" xfId="136" xr:uid="{00000000-0005-0000-0000-000067000000}"/>
    <cellStyle name="標準 3 3 3" xfId="145" xr:uid="{00000000-0005-0000-0000-000068000000}"/>
    <cellStyle name="標準 3 3 4" xfId="147" xr:uid="{00000000-0005-0000-0000-000069000000}"/>
    <cellStyle name="標準 30" xfId="58" xr:uid="{00000000-0005-0000-0000-00006A000000}"/>
    <cellStyle name="標準 31" xfId="91" xr:uid="{00000000-0005-0000-0000-00006B000000}"/>
    <cellStyle name="標準 32" xfId="92" xr:uid="{00000000-0005-0000-0000-00006C000000}"/>
    <cellStyle name="標準 33" xfId="93" xr:uid="{00000000-0005-0000-0000-00006D000000}"/>
    <cellStyle name="標準 34" xfId="94" xr:uid="{00000000-0005-0000-0000-00006E000000}"/>
    <cellStyle name="標準 35" xfId="95" xr:uid="{00000000-0005-0000-0000-00006F000000}"/>
    <cellStyle name="標準 36" xfId="96" xr:uid="{00000000-0005-0000-0000-000070000000}"/>
    <cellStyle name="標準 37" xfId="97" xr:uid="{00000000-0005-0000-0000-000071000000}"/>
    <cellStyle name="標準 38" xfId="98" xr:uid="{00000000-0005-0000-0000-000072000000}"/>
    <cellStyle name="標準 39" xfId="99" xr:uid="{00000000-0005-0000-0000-000073000000}"/>
    <cellStyle name="標準 4" xfId="53" xr:uid="{00000000-0005-0000-0000-000074000000}"/>
    <cellStyle name="標準 4 2" xfId="100" xr:uid="{00000000-0005-0000-0000-000075000000}"/>
    <cellStyle name="標準 4 2 2" xfId="101" xr:uid="{00000000-0005-0000-0000-000076000000}"/>
    <cellStyle name="標準 4 2 2 2" xfId="131" xr:uid="{00000000-0005-0000-0000-000077000000}"/>
    <cellStyle name="標準 4 2 2 2 2" xfId="140" xr:uid="{00000000-0005-0000-0000-000078000000}"/>
    <cellStyle name="標準 4 2 3" xfId="125" xr:uid="{00000000-0005-0000-0000-000079000000}"/>
    <cellStyle name="標準 4 2 3 2" xfId="144" xr:uid="{00000000-0005-0000-0000-00007A000000}"/>
    <cellStyle name="標準 4 3" xfId="102" xr:uid="{00000000-0005-0000-0000-00007B000000}"/>
    <cellStyle name="標準 4 3 2" xfId="121" xr:uid="{00000000-0005-0000-0000-00007C000000}"/>
    <cellStyle name="標準 4 3 2 2" xfId="142" xr:uid="{00000000-0005-0000-0000-00007D000000}"/>
    <cellStyle name="標準 40" xfId="103" xr:uid="{00000000-0005-0000-0000-00007E000000}"/>
    <cellStyle name="標準 41" xfId="104" xr:uid="{00000000-0005-0000-0000-00007F000000}"/>
    <cellStyle name="標準 42" xfId="105" xr:uid="{00000000-0005-0000-0000-000080000000}"/>
    <cellStyle name="標準 43" xfId="106" xr:uid="{00000000-0005-0000-0000-000081000000}"/>
    <cellStyle name="標準 44" xfId="107" xr:uid="{00000000-0005-0000-0000-000082000000}"/>
    <cellStyle name="標準 45" xfId="108" xr:uid="{00000000-0005-0000-0000-000083000000}"/>
    <cellStyle name="標準 46" xfId="148" xr:uid="{B28304B8-14B7-4F21-9BFA-1832DFA4720A}"/>
    <cellStyle name="標準 5" xfId="4" xr:uid="{00000000-0005-0000-0000-000084000000}"/>
    <cellStyle name="標準 5 2" xfId="57" xr:uid="{00000000-0005-0000-0000-000085000000}"/>
    <cellStyle name="標準 5 2 2" xfId="109" xr:uid="{00000000-0005-0000-0000-000086000000}"/>
    <cellStyle name="標準 5 2 3" xfId="110" xr:uid="{00000000-0005-0000-0000-000087000000}"/>
    <cellStyle name="標準 5 2 4" xfId="111" xr:uid="{00000000-0005-0000-0000-000088000000}"/>
    <cellStyle name="標準 5 3" xfId="112" xr:uid="{00000000-0005-0000-0000-000089000000}"/>
    <cellStyle name="標準 5 4" xfId="113" xr:uid="{00000000-0005-0000-0000-00008A000000}"/>
    <cellStyle name="標準 5 5" xfId="114" xr:uid="{00000000-0005-0000-0000-00008B000000}"/>
    <cellStyle name="標準 6" xfId="55" xr:uid="{00000000-0005-0000-0000-00008C000000}"/>
    <cellStyle name="標準 6 2" xfId="115" xr:uid="{00000000-0005-0000-0000-00008D000000}"/>
    <cellStyle name="標準 7" xfId="116" xr:uid="{00000000-0005-0000-0000-00008E000000}"/>
    <cellStyle name="標準 7 2" xfId="117" xr:uid="{00000000-0005-0000-0000-00008F000000}"/>
    <cellStyle name="標準 8" xfId="118" xr:uid="{00000000-0005-0000-0000-000090000000}"/>
    <cellStyle name="標準 9" xfId="119" xr:uid="{00000000-0005-0000-0000-000091000000}"/>
    <cellStyle name="標準_主要用途" xfId="3" xr:uid="{00000000-0005-0000-0000-000092000000}"/>
    <cellStyle name="良い 2" xfId="54" xr:uid="{00000000-0005-0000-0000-000093000000}"/>
  </cellStyles>
  <dxfs count="0"/>
  <tableStyles count="0" defaultTableStyle="TableStyleMedium9"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checked="Checked" lockText="1" noThreeD="1"/>
</file>

<file path=xl/ctrlProps/ctrlProp504.xml><?xml version="1.0" encoding="utf-8"?>
<formControlPr xmlns="http://schemas.microsoft.com/office/spreadsheetml/2009/9/main" objectType="CheckBox" checked="Checked"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4.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xml.rels><?xml version="1.0" encoding="UTF-8" standalone="yes"?>
<Relationships xmlns="http://schemas.openxmlformats.org/package/2006/relationships"><Relationship Id="rId3" Type="http://schemas.openxmlformats.org/officeDocument/2006/relationships/hyperlink" Target="#&#30446;&#27425;&#12539;&#20837;&#21147;&#12471;&#12540;&#12488;!A1"/><Relationship Id="rId2" Type="http://schemas.openxmlformats.org/officeDocument/2006/relationships/image" Target="../media/image2.emf"/><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4037;&#20107;&#23626;!N90"/></Relationships>
</file>

<file path=xl/drawings/_rels/drawing6.xml.rels><?xml version="1.0" encoding="UTF-8" standalone="yes"?>
<Relationships xmlns="http://schemas.openxmlformats.org/package/2006/relationships"><Relationship Id="rId2" Type="http://schemas.openxmlformats.org/officeDocument/2006/relationships/hyperlink" Target="#&#24037;&#20107;&#23626;!N90"/><Relationship Id="rId1" Type="http://schemas.openxmlformats.org/officeDocument/2006/relationships/hyperlink" Target="#&#30446;&#27425;&#12539;&#20837;&#21147;&#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drawing1.xml><?xml version="1.0" encoding="utf-8"?>
<xdr:wsDr xmlns:xdr="http://schemas.openxmlformats.org/drawingml/2006/spreadsheetDrawing" xmlns:a="http://schemas.openxmlformats.org/drawingml/2006/main">
  <xdr:twoCellAnchor>
    <xdr:from>
      <xdr:col>1</xdr:col>
      <xdr:colOff>95203</xdr:colOff>
      <xdr:row>35</xdr:row>
      <xdr:rowOff>133201</xdr:rowOff>
    </xdr:from>
    <xdr:to>
      <xdr:col>5</xdr:col>
      <xdr:colOff>133285</xdr:colOff>
      <xdr:row>38</xdr:row>
      <xdr:rowOff>171152</xdr:rowOff>
    </xdr:to>
    <xdr:grpSp>
      <xdr:nvGrpSpPr>
        <xdr:cNvPr id="2" name="グループ化 3">
          <a:hlinkClick xmlns:r="http://schemas.openxmlformats.org/officeDocument/2006/relationships" r:id="rId1"/>
          <a:extLst>
            <a:ext uri="{FF2B5EF4-FFF2-40B4-BE49-F238E27FC236}">
              <a16:creationId xmlns:a16="http://schemas.microsoft.com/office/drawing/2014/main" id="{00000000-0008-0000-0800-000002000000}"/>
            </a:ext>
          </a:extLst>
        </xdr:cNvPr>
        <xdr:cNvGrpSpPr>
          <a:grpSpLocks/>
        </xdr:cNvGrpSpPr>
      </xdr:nvGrpSpPr>
      <xdr:grpSpPr bwMode="auto">
        <a:xfrm>
          <a:off x="314278" y="6800701"/>
          <a:ext cx="914382" cy="609451"/>
          <a:chOff x="8122440" y="0"/>
          <a:chExt cx="1143003" cy="806380"/>
        </a:xfrm>
      </xdr:grpSpPr>
      <xdr:sp macro="" textlink="">
        <xdr:nvSpPr>
          <xdr:cNvPr id="3" name="円/楕円 112">
            <a:extLst>
              <a:ext uri="{FF2B5EF4-FFF2-40B4-BE49-F238E27FC236}">
                <a16:creationId xmlns:a16="http://schemas.microsoft.com/office/drawing/2014/main" id="{00000000-0008-0000-0800-000003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50</xdr:row>
      <xdr:rowOff>171152</xdr:rowOff>
    </xdr:to>
    <xdr:sp macro="" textlink="">
      <xdr:nvSpPr>
        <xdr:cNvPr id="3" name="左中かっこ 2">
          <a:extLst>
            <a:ext uri="{FF2B5EF4-FFF2-40B4-BE49-F238E27FC236}">
              <a16:creationId xmlns:a16="http://schemas.microsoft.com/office/drawing/2014/main" id="{00000000-0008-0000-1100-000003000000}"/>
            </a:ext>
          </a:extLst>
        </xdr:cNvPr>
        <xdr:cNvSpPr/>
      </xdr:nvSpPr>
      <xdr:spPr>
        <a:xfrm>
          <a:off x="0" y="2991148"/>
          <a:ext cx="0" cy="64383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16" name="テキスト ボックス 111">
          <a:extLst>
            <a:ext uri="{FF2B5EF4-FFF2-40B4-BE49-F238E27FC236}">
              <a16:creationId xmlns:a16="http://schemas.microsoft.com/office/drawing/2014/main" id="{00000000-0008-0000-1100-000004000000}"/>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35</xdr:col>
      <xdr:colOff>9534</xdr:colOff>
      <xdr:row>25</xdr:row>
      <xdr:rowOff>66973</xdr:rowOff>
    </xdr:from>
    <xdr:to>
      <xdr:col>57</xdr:col>
      <xdr:colOff>28603</xdr:colOff>
      <xdr:row>33</xdr:row>
      <xdr:rowOff>95250</xdr:rowOff>
    </xdr:to>
    <xdr:sp macro="" textlink="">
      <xdr:nvSpPr>
        <xdr:cNvPr id="17" name="テキスト ボックス 111">
          <a:extLst>
            <a:ext uri="{FF2B5EF4-FFF2-40B4-BE49-F238E27FC236}">
              <a16:creationId xmlns:a16="http://schemas.microsoft.com/office/drawing/2014/main" id="{00000000-0008-0000-1100-00006C000000}"/>
            </a:ext>
          </a:extLst>
        </xdr:cNvPr>
        <xdr:cNvSpPr txBox="1"/>
      </xdr:nvSpPr>
      <xdr:spPr>
        <a:xfrm>
          <a:off x="7658100" y="4562474"/>
          <a:ext cx="5257800" cy="15525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145" name="右中かっこ 144">
          <a:extLst>
            <a:ext uri="{FF2B5EF4-FFF2-40B4-BE49-F238E27FC236}">
              <a16:creationId xmlns:a16="http://schemas.microsoft.com/office/drawing/2014/main" id="{00000000-0008-0000-1100-000091000000}"/>
            </a:ext>
          </a:extLst>
        </xdr:cNvPr>
        <xdr:cNvSpPr/>
      </xdr:nvSpPr>
      <xdr:spPr>
        <a:xfrm>
          <a:off x="3390900" y="1704975"/>
          <a:ext cx="76200" cy="247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35</xdr:col>
      <xdr:colOff>0</xdr:colOff>
      <xdr:row>60</xdr:row>
      <xdr:rowOff>0</xdr:rowOff>
    </xdr:from>
    <xdr:to>
      <xdr:col>57</xdr:col>
      <xdr:colOff>19069</xdr:colOff>
      <xdr:row>62</xdr:row>
      <xdr:rowOff>152549</xdr:rowOff>
    </xdr:to>
    <xdr:sp macro="" textlink="">
      <xdr:nvSpPr>
        <xdr:cNvPr id="18" name="テキスト ボックス 111">
          <a:extLst>
            <a:ext uri="{FF2B5EF4-FFF2-40B4-BE49-F238E27FC236}">
              <a16:creationId xmlns:a16="http://schemas.microsoft.com/office/drawing/2014/main" id="{00000000-0008-0000-1100-000092000000}"/>
            </a:ext>
          </a:extLst>
        </xdr:cNvPr>
        <xdr:cNvSpPr txBox="1"/>
      </xdr:nvSpPr>
      <xdr:spPr>
        <a:xfrm>
          <a:off x="7648575" y="11163301"/>
          <a:ext cx="5257800" cy="533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144385" name="Check_x0020_Box_x0020_1" hidden="1">
              <a:extLst>
                <a:ext uri="{63B3BB69-23CF-44E3-9099-C40C66FF867C}">
                  <a14:compatExt spid="_x0000_s144385"/>
                </a:ext>
                <a:ext uri="{FF2B5EF4-FFF2-40B4-BE49-F238E27FC236}">
                  <a16:creationId xmlns:a16="http://schemas.microsoft.com/office/drawing/2014/main" id="{00000000-0008-0000-1300-00000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144386" name="Check_x0020_Box_x0020_2" hidden="1">
              <a:extLst>
                <a:ext uri="{63B3BB69-23CF-44E3-9099-C40C66FF867C}">
                  <a14:compatExt spid="_x0000_s144386"/>
                </a:ext>
                <a:ext uri="{FF2B5EF4-FFF2-40B4-BE49-F238E27FC236}">
                  <a16:creationId xmlns:a16="http://schemas.microsoft.com/office/drawing/2014/main" id="{00000000-0008-0000-1300-00000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144387" name="Check_x0020_Box_x0020_3" hidden="1">
              <a:extLst>
                <a:ext uri="{63B3BB69-23CF-44E3-9099-C40C66FF867C}">
                  <a14:compatExt spid="_x0000_s144387"/>
                </a:ext>
                <a:ext uri="{FF2B5EF4-FFF2-40B4-BE49-F238E27FC236}">
                  <a16:creationId xmlns:a16="http://schemas.microsoft.com/office/drawing/2014/main" id="{00000000-0008-0000-1300-00000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144388" name="Check_x0020_Box_x0020_4" hidden="1">
              <a:extLst>
                <a:ext uri="{63B3BB69-23CF-44E3-9099-C40C66FF867C}">
                  <a14:compatExt spid="_x0000_s144388"/>
                </a:ext>
                <a:ext uri="{FF2B5EF4-FFF2-40B4-BE49-F238E27FC236}">
                  <a16:creationId xmlns:a16="http://schemas.microsoft.com/office/drawing/2014/main" id="{00000000-0008-0000-1300-00000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144389" name="Check_x0020_Box_x0020_5" hidden="1">
              <a:extLst>
                <a:ext uri="{63B3BB69-23CF-44E3-9099-C40C66FF867C}">
                  <a14:compatExt spid="_x0000_s144389"/>
                </a:ext>
                <a:ext uri="{FF2B5EF4-FFF2-40B4-BE49-F238E27FC236}">
                  <a16:creationId xmlns:a16="http://schemas.microsoft.com/office/drawing/2014/main" id="{00000000-0008-0000-1300-00000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144390" name="Check_x0020_Box_x0020_6" hidden="1">
              <a:extLst>
                <a:ext uri="{63B3BB69-23CF-44E3-9099-C40C66FF867C}">
                  <a14:compatExt spid="_x0000_s144390"/>
                </a:ext>
                <a:ext uri="{FF2B5EF4-FFF2-40B4-BE49-F238E27FC236}">
                  <a16:creationId xmlns:a16="http://schemas.microsoft.com/office/drawing/2014/main" id="{00000000-0008-0000-1300-00000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4391" name="Check_x0020_Box_x0020_7" hidden="1">
              <a:extLst>
                <a:ext uri="{63B3BB69-23CF-44E3-9099-C40C66FF867C}">
                  <a14:compatExt spid="_x0000_s144391"/>
                </a:ext>
                <a:ext uri="{FF2B5EF4-FFF2-40B4-BE49-F238E27FC236}">
                  <a16:creationId xmlns:a16="http://schemas.microsoft.com/office/drawing/2014/main" id="{00000000-0008-0000-1300-00000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4392" name="Check_x0020_Box_x0020_8" hidden="1">
              <a:extLst>
                <a:ext uri="{63B3BB69-23CF-44E3-9099-C40C66FF867C}">
                  <a14:compatExt spid="_x0000_s144392"/>
                </a:ext>
                <a:ext uri="{FF2B5EF4-FFF2-40B4-BE49-F238E27FC236}">
                  <a16:creationId xmlns:a16="http://schemas.microsoft.com/office/drawing/2014/main" id="{00000000-0008-0000-1300-00000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144393" name="Check_x0020_Box_x0020_9" hidden="1">
              <a:extLst>
                <a:ext uri="{63B3BB69-23CF-44E3-9099-C40C66FF867C}">
                  <a14:compatExt spid="_x0000_s144393"/>
                </a:ext>
                <a:ext uri="{FF2B5EF4-FFF2-40B4-BE49-F238E27FC236}">
                  <a16:creationId xmlns:a16="http://schemas.microsoft.com/office/drawing/2014/main" id="{00000000-0008-0000-1300-00000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144394" name="Check_x0020_Box_x0020_10" hidden="1">
              <a:extLst>
                <a:ext uri="{63B3BB69-23CF-44E3-9099-C40C66FF867C}">
                  <a14:compatExt spid="_x0000_s144394"/>
                </a:ext>
                <a:ext uri="{FF2B5EF4-FFF2-40B4-BE49-F238E27FC236}">
                  <a16:creationId xmlns:a16="http://schemas.microsoft.com/office/drawing/2014/main" id="{00000000-0008-0000-1300-00000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180975</xdr:rowOff>
        </xdr:from>
        <xdr:to>
          <xdr:col>31</xdr:col>
          <xdr:colOff>66675</xdr:colOff>
          <xdr:row>45</xdr:row>
          <xdr:rowOff>9525</xdr:rowOff>
        </xdr:to>
        <xdr:sp macro="" textlink="">
          <xdr:nvSpPr>
            <xdr:cNvPr id="144395" name="Check_x0020_Box_x0020_11" hidden="1">
              <a:extLst>
                <a:ext uri="{63B3BB69-23CF-44E3-9099-C40C66FF867C}">
                  <a14:compatExt spid="_x0000_s144395"/>
                </a:ext>
                <a:ext uri="{FF2B5EF4-FFF2-40B4-BE49-F238E27FC236}">
                  <a16:creationId xmlns:a16="http://schemas.microsoft.com/office/drawing/2014/main" id="{00000000-0008-0000-1300-00000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44</xdr:row>
          <xdr:rowOff>180975</xdr:rowOff>
        </xdr:from>
        <xdr:to>
          <xdr:col>31</xdr:col>
          <xdr:colOff>66675</xdr:colOff>
          <xdr:row>46</xdr:row>
          <xdr:rowOff>9525</xdr:rowOff>
        </xdr:to>
        <xdr:sp macro="" textlink="">
          <xdr:nvSpPr>
            <xdr:cNvPr id="144396" name="Check_x0020_Box_x0020_12" hidden="1">
              <a:extLst>
                <a:ext uri="{63B3BB69-23CF-44E3-9099-C40C66FF867C}">
                  <a14:compatExt spid="_x0000_s144396"/>
                </a:ext>
                <a:ext uri="{FF2B5EF4-FFF2-40B4-BE49-F238E27FC236}">
                  <a16:creationId xmlns:a16="http://schemas.microsoft.com/office/drawing/2014/main" id="{00000000-0008-0000-1300-00000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144397" name="Check_x0020_Box_x0020_13" hidden="1">
              <a:extLst>
                <a:ext uri="{63B3BB69-23CF-44E3-9099-C40C66FF867C}">
                  <a14:compatExt spid="_x0000_s144397"/>
                </a:ext>
                <a:ext uri="{FF2B5EF4-FFF2-40B4-BE49-F238E27FC236}">
                  <a16:creationId xmlns:a16="http://schemas.microsoft.com/office/drawing/2014/main" id="{00000000-0008-0000-1300-00000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144398" name="Check_x0020_Box_x0020_14" hidden="1">
              <a:extLst>
                <a:ext uri="{63B3BB69-23CF-44E3-9099-C40C66FF867C}">
                  <a14:compatExt spid="_x0000_s144398"/>
                </a:ext>
                <a:ext uri="{FF2B5EF4-FFF2-40B4-BE49-F238E27FC236}">
                  <a16:creationId xmlns:a16="http://schemas.microsoft.com/office/drawing/2014/main" id="{00000000-0008-0000-1300-00000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144399" name="Check_x0020_Box_x0020_15" hidden="1">
              <a:extLst>
                <a:ext uri="{63B3BB69-23CF-44E3-9099-C40C66FF867C}">
                  <a14:compatExt spid="_x0000_s144399"/>
                </a:ext>
                <a:ext uri="{FF2B5EF4-FFF2-40B4-BE49-F238E27FC236}">
                  <a16:creationId xmlns:a16="http://schemas.microsoft.com/office/drawing/2014/main" id="{00000000-0008-0000-1300-00000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144400" name="Check_x0020_Box_x0020_16" hidden="1">
              <a:extLst>
                <a:ext uri="{63B3BB69-23CF-44E3-9099-C40C66FF867C}">
                  <a14:compatExt spid="_x0000_s144400"/>
                </a:ext>
                <a:ext uri="{FF2B5EF4-FFF2-40B4-BE49-F238E27FC236}">
                  <a16:creationId xmlns:a16="http://schemas.microsoft.com/office/drawing/2014/main" id="{00000000-0008-0000-1300-00001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144401" name="Check_x0020_Box_x0020_17" hidden="1">
              <a:extLst>
                <a:ext uri="{63B3BB69-23CF-44E3-9099-C40C66FF867C}">
                  <a14:compatExt spid="_x0000_s144401"/>
                </a:ext>
                <a:ext uri="{FF2B5EF4-FFF2-40B4-BE49-F238E27FC236}">
                  <a16:creationId xmlns:a16="http://schemas.microsoft.com/office/drawing/2014/main" id="{00000000-0008-0000-1300-00001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144402" name="Check_x0020_Box_x0020_18" hidden="1">
              <a:extLst>
                <a:ext uri="{63B3BB69-23CF-44E3-9099-C40C66FF867C}">
                  <a14:compatExt spid="_x0000_s144402"/>
                </a:ext>
                <a:ext uri="{FF2B5EF4-FFF2-40B4-BE49-F238E27FC236}">
                  <a16:creationId xmlns:a16="http://schemas.microsoft.com/office/drawing/2014/main" id="{00000000-0008-0000-1300-00001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144403" name="Check_x0020_Box_x0020_19" hidden="1">
              <a:extLst>
                <a:ext uri="{63B3BB69-23CF-44E3-9099-C40C66FF867C}">
                  <a14:compatExt spid="_x0000_s144403"/>
                </a:ext>
                <a:ext uri="{FF2B5EF4-FFF2-40B4-BE49-F238E27FC236}">
                  <a16:creationId xmlns:a16="http://schemas.microsoft.com/office/drawing/2014/main" id="{00000000-0008-0000-1300-00001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144404" name="Check_x0020_Box_x0020_20" hidden="1">
              <a:extLst>
                <a:ext uri="{63B3BB69-23CF-44E3-9099-C40C66FF867C}">
                  <a14:compatExt spid="_x0000_s144404"/>
                </a:ext>
                <a:ext uri="{FF2B5EF4-FFF2-40B4-BE49-F238E27FC236}">
                  <a16:creationId xmlns:a16="http://schemas.microsoft.com/office/drawing/2014/main" id="{00000000-0008-0000-1300-00001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144405" name="Check_x0020_Box_x0020_21" hidden="1">
              <a:extLst>
                <a:ext uri="{63B3BB69-23CF-44E3-9099-C40C66FF867C}">
                  <a14:compatExt spid="_x0000_s144405"/>
                </a:ext>
                <a:ext uri="{FF2B5EF4-FFF2-40B4-BE49-F238E27FC236}">
                  <a16:creationId xmlns:a16="http://schemas.microsoft.com/office/drawing/2014/main" id="{00000000-0008-0000-1300-00001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144406" name="Check_x0020_Box_x0020_22" hidden="1">
              <a:extLst>
                <a:ext uri="{63B3BB69-23CF-44E3-9099-C40C66FF867C}">
                  <a14:compatExt spid="_x0000_s144406"/>
                </a:ext>
                <a:ext uri="{FF2B5EF4-FFF2-40B4-BE49-F238E27FC236}">
                  <a16:creationId xmlns:a16="http://schemas.microsoft.com/office/drawing/2014/main" id="{00000000-0008-0000-1300-00001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144407" name="Check_x0020_Box_x0020_23" hidden="1">
              <a:extLst>
                <a:ext uri="{63B3BB69-23CF-44E3-9099-C40C66FF867C}">
                  <a14:compatExt spid="_x0000_s144407"/>
                </a:ext>
                <a:ext uri="{FF2B5EF4-FFF2-40B4-BE49-F238E27FC236}">
                  <a16:creationId xmlns:a16="http://schemas.microsoft.com/office/drawing/2014/main" id="{00000000-0008-0000-1300-00001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144408" name="Check_x0020_Box_x0020_24" hidden="1">
              <a:extLst>
                <a:ext uri="{63B3BB69-23CF-44E3-9099-C40C66FF867C}">
                  <a14:compatExt spid="_x0000_s144408"/>
                </a:ext>
                <a:ext uri="{FF2B5EF4-FFF2-40B4-BE49-F238E27FC236}">
                  <a16:creationId xmlns:a16="http://schemas.microsoft.com/office/drawing/2014/main" id="{00000000-0008-0000-1300-00001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144409" name="Check_x0020_Box_x0020_25" hidden="1">
              <a:extLst>
                <a:ext uri="{63B3BB69-23CF-44E3-9099-C40C66FF867C}">
                  <a14:compatExt spid="_x0000_s144409"/>
                </a:ext>
                <a:ext uri="{FF2B5EF4-FFF2-40B4-BE49-F238E27FC236}">
                  <a16:creationId xmlns:a16="http://schemas.microsoft.com/office/drawing/2014/main" id="{00000000-0008-0000-1300-00001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144410" name="Check_x0020_Box_x0020_26" hidden="1">
              <a:extLst>
                <a:ext uri="{63B3BB69-23CF-44E3-9099-C40C66FF867C}">
                  <a14:compatExt spid="_x0000_s144410"/>
                </a:ext>
                <a:ext uri="{FF2B5EF4-FFF2-40B4-BE49-F238E27FC236}">
                  <a16:creationId xmlns:a16="http://schemas.microsoft.com/office/drawing/2014/main" id="{00000000-0008-0000-1300-00001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144411" name="Check_x0020_Box_x0020_27" hidden="1">
              <a:extLst>
                <a:ext uri="{63B3BB69-23CF-44E3-9099-C40C66FF867C}">
                  <a14:compatExt spid="_x0000_s144411"/>
                </a:ext>
                <a:ext uri="{FF2B5EF4-FFF2-40B4-BE49-F238E27FC236}">
                  <a16:creationId xmlns:a16="http://schemas.microsoft.com/office/drawing/2014/main" id="{00000000-0008-0000-1300-00001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144412" name="Check_x0020_Box_x0020_28" hidden="1">
              <a:extLst>
                <a:ext uri="{63B3BB69-23CF-44E3-9099-C40C66FF867C}">
                  <a14:compatExt spid="_x0000_s144412"/>
                </a:ext>
                <a:ext uri="{FF2B5EF4-FFF2-40B4-BE49-F238E27FC236}">
                  <a16:creationId xmlns:a16="http://schemas.microsoft.com/office/drawing/2014/main" id="{00000000-0008-0000-1300-00001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144413" name="Check_x0020_Box_x0020_29" hidden="1">
              <a:extLst>
                <a:ext uri="{63B3BB69-23CF-44E3-9099-C40C66FF867C}">
                  <a14:compatExt spid="_x0000_s144413"/>
                </a:ext>
                <a:ext uri="{FF2B5EF4-FFF2-40B4-BE49-F238E27FC236}">
                  <a16:creationId xmlns:a16="http://schemas.microsoft.com/office/drawing/2014/main" id="{00000000-0008-0000-1300-00001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144414" name="Check_x0020_Box_x0020_30" hidden="1">
              <a:extLst>
                <a:ext uri="{63B3BB69-23CF-44E3-9099-C40C66FF867C}">
                  <a14:compatExt spid="_x0000_s144414"/>
                </a:ext>
                <a:ext uri="{FF2B5EF4-FFF2-40B4-BE49-F238E27FC236}">
                  <a16:creationId xmlns:a16="http://schemas.microsoft.com/office/drawing/2014/main" id="{00000000-0008-0000-1300-00001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144415" name="Check_x0020_Box_x0020_31" hidden="1">
              <a:extLst>
                <a:ext uri="{63B3BB69-23CF-44E3-9099-C40C66FF867C}">
                  <a14:compatExt spid="_x0000_s144415"/>
                </a:ext>
                <a:ext uri="{FF2B5EF4-FFF2-40B4-BE49-F238E27FC236}">
                  <a16:creationId xmlns:a16="http://schemas.microsoft.com/office/drawing/2014/main" id="{00000000-0008-0000-1300-00001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144416" name="Check_x0020_Box_x0020_32" hidden="1">
              <a:extLst>
                <a:ext uri="{63B3BB69-23CF-44E3-9099-C40C66FF867C}">
                  <a14:compatExt spid="_x0000_s144416"/>
                </a:ext>
                <a:ext uri="{FF2B5EF4-FFF2-40B4-BE49-F238E27FC236}">
                  <a16:creationId xmlns:a16="http://schemas.microsoft.com/office/drawing/2014/main" id="{00000000-0008-0000-1300-00002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144417" name="Check_x0020_Box_x0020_33" hidden="1">
              <a:extLst>
                <a:ext uri="{63B3BB69-23CF-44E3-9099-C40C66FF867C}">
                  <a14:compatExt spid="_x0000_s144417"/>
                </a:ext>
                <a:ext uri="{FF2B5EF4-FFF2-40B4-BE49-F238E27FC236}">
                  <a16:creationId xmlns:a16="http://schemas.microsoft.com/office/drawing/2014/main" id="{00000000-0008-0000-1300-00002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144418" name="Check_x0020_Box_x0020_34" hidden="1">
              <a:extLst>
                <a:ext uri="{63B3BB69-23CF-44E3-9099-C40C66FF867C}">
                  <a14:compatExt spid="_x0000_s144418"/>
                </a:ext>
                <a:ext uri="{FF2B5EF4-FFF2-40B4-BE49-F238E27FC236}">
                  <a16:creationId xmlns:a16="http://schemas.microsoft.com/office/drawing/2014/main" id="{00000000-0008-0000-1300-00002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144419" name="Check_x0020_Box_x0020_38" hidden="1">
              <a:extLst>
                <a:ext uri="{63B3BB69-23CF-44E3-9099-C40C66FF867C}">
                  <a14:compatExt spid="_x0000_s144419"/>
                </a:ext>
                <a:ext uri="{FF2B5EF4-FFF2-40B4-BE49-F238E27FC236}">
                  <a16:creationId xmlns:a16="http://schemas.microsoft.com/office/drawing/2014/main" id="{00000000-0008-0000-1300-00002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144420" name="Check_x0020_Box_x0020_39" hidden="1">
              <a:extLst>
                <a:ext uri="{63B3BB69-23CF-44E3-9099-C40C66FF867C}">
                  <a14:compatExt spid="_x0000_s144420"/>
                </a:ext>
                <a:ext uri="{FF2B5EF4-FFF2-40B4-BE49-F238E27FC236}">
                  <a16:creationId xmlns:a16="http://schemas.microsoft.com/office/drawing/2014/main" id="{00000000-0008-0000-1300-00002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144421" name="Check_x0020_Box_x0020_40" hidden="1">
              <a:extLst>
                <a:ext uri="{63B3BB69-23CF-44E3-9099-C40C66FF867C}">
                  <a14:compatExt spid="_x0000_s144421"/>
                </a:ext>
                <a:ext uri="{FF2B5EF4-FFF2-40B4-BE49-F238E27FC236}">
                  <a16:creationId xmlns:a16="http://schemas.microsoft.com/office/drawing/2014/main" id="{00000000-0008-0000-1300-00002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144422" name="Check_x0020_Box_x0020_41" hidden="1">
              <a:extLst>
                <a:ext uri="{63B3BB69-23CF-44E3-9099-C40C66FF867C}">
                  <a14:compatExt spid="_x0000_s144422"/>
                </a:ext>
                <a:ext uri="{FF2B5EF4-FFF2-40B4-BE49-F238E27FC236}">
                  <a16:creationId xmlns:a16="http://schemas.microsoft.com/office/drawing/2014/main" id="{00000000-0008-0000-1300-00002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144423" name="Check_x0020_Box_x0020_42" hidden="1">
              <a:extLst>
                <a:ext uri="{63B3BB69-23CF-44E3-9099-C40C66FF867C}">
                  <a14:compatExt spid="_x0000_s144423"/>
                </a:ext>
                <a:ext uri="{FF2B5EF4-FFF2-40B4-BE49-F238E27FC236}">
                  <a16:creationId xmlns:a16="http://schemas.microsoft.com/office/drawing/2014/main" id="{00000000-0008-0000-1300-00002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144424" name="Check_x0020_Box_x0020_43" hidden="1">
              <a:extLst>
                <a:ext uri="{63B3BB69-23CF-44E3-9099-C40C66FF867C}">
                  <a14:compatExt spid="_x0000_s144424"/>
                </a:ext>
                <a:ext uri="{FF2B5EF4-FFF2-40B4-BE49-F238E27FC236}">
                  <a16:creationId xmlns:a16="http://schemas.microsoft.com/office/drawing/2014/main" id="{00000000-0008-0000-1300-00002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144425" name="Check_x0020_Box_x0020_44" hidden="1">
              <a:extLst>
                <a:ext uri="{63B3BB69-23CF-44E3-9099-C40C66FF867C}">
                  <a14:compatExt spid="_x0000_s144425"/>
                </a:ext>
                <a:ext uri="{FF2B5EF4-FFF2-40B4-BE49-F238E27FC236}">
                  <a16:creationId xmlns:a16="http://schemas.microsoft.com/office/drawing/2014/main" id="{00000000-0008-0000-1300-00002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144426" name="Check_x0020_Box_x0020_45" hidden="1">
              <a:extLst>
                <a:ext uri="{63B3BB69-23CF-44E3-9099-C40C66FF867C}">
                  <a14:compatExt spid="_x0000_s144426"/>
                </a:ext>
                <a:ext uri="{FF2B5EF4-FFF2-40B4-BE49-F238E27FC236}">
                  <a16:creationId xmlns:a16="http://schemas.microsoft.com/office/drawing/2014/main" id="{00000000-0008-0000-1300-00002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144427" name="Check_x0020_Box_x0020_46" hidden="1">
              <a:extLst>
                <a:ext uri="{63B3BB69-23CF-44E3-9099-C40C66FF867C}">
                  <a14:compatExt spid="_x0000_s144427"/>
                </a:ext>
                <a:ext uri="{FF2B5EF4-FFF2-40B4-BE49-F238E27FC236}">
                  <a16:creationId xmlns:a16="http://schemas.microsoft.com/office/drawing/2014/main" id="{00000000-0008-0000-1300-00002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144428" name="Check_x0020_Box_x0020_47" hidden="1">
              <a:extLst>
                <a:ext uri="{63B3BB69-23CF-44E3-9099-C40C66FF867C}">
                  <a14:compatExt spid="_x0000_s144428"/>
                </a:ext>
                <a:ext uri="{FF2B5EF4-FFF2-40B4-BE49-F238E27FC236}">
                  <a16:creationId xmlns:a16="http://schemas.microsoft.com/office/drawing/2014/main" id="{00000000-0008-0000-1300-00002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144429" name="Check_x0020_Box_x0020_48" hidden="1">
              <a:extLst>
                <a:ext uri="{63B3BB69-23CF-44E3-9099-C40C66FF867C}">
                  <a14:compatExt spid="_x0000_s144429"/>
                </a:ext>
                <a:ext uri="{FF2B5EF4-FFF2-40B4-BE49-F238E27FC236}">
                  <a16:creationId xmlns:a16="http://schemas.microsoft.com/office/drawing/2014/main" id="{00000000-0008-0000-1300-00002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144430" name="Check_x0020_Box_x0020_49" hidden="1">
              <a:extLst>
                <a:ext uri="{63B3BB69-23CF-44E3-9099-C40C66FF867C}">
                  <a14:compatExt spid="_x0000_s144430"/>
                </a:ext>
                <a:ext uri="{FF2B5EF4-FFF2-40B4-BE49-F238E27FC236}">
                  <a16:creationId xmlns:a16="http://schemas.microsoft.com/office/drawing/2014/main" id="{00000000-0008-0000-1300-00002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144431" name="Check_x0020_Box_x0020_50" hidden="1">
              <a:extLst>
                <a:ext uri="{63B3BB69-23CF-44E3-9099-C40C66FF867C}">
                  <a14:compatExt spid="_x0000_s144431"/>
                </a:ext>
                <a:ext uri="{FF2B5EF4-FFF2-40B4-BE49-F238E27FC236}">
                  <a16:creationId xmlns:a16="http://schemas.microsoft.com/office/drawing/2014/main" id="{00000000-0008-0000-1300-00002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144432" name="Check_x0020_Box_x0020_51" hidden="1">
              <a:extLst>
                <a:ext uri="{63B3BB69-23CF-44E3-9099-C40C66FF867C}">
                  <a14:compatExt spid="_x0000_s144432"/>
                </a:ext>
                <a:ext uri="{FF2B5EF4-FFF2-40B4-BE49-F238E27FC236}">
                  <a16:creationId xmlns:a16="http://schemas.microsoft.com/office/drawing/2014/main" id="{00000000-0008-0000-1300-00003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144433" name="Check_x0020_Box_x0020_52" hidden="1">
              <a:extLst>
                <a:ext uri="{63B3BB69-23CF-44E3-9099-C40C66FF867C}">
                  <a14:compatExt spid="_x0000_s144433"/>
                </a:ext>
                <a:ext uri="{FF2B5EF4-FFF2-40B4-BE49-F238E27FC236}">
                  <a16:creationId xmlns:a16="http://schemas.microsoft.com/office/drawing/2014/main" id="{00000000-0008-0000-1300-00003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144434" name="Check_x0020_Box_x0020_53" hidden="1">
              <a:extLst>
                <a:ext uri="{63B3BB69-23CF-44E3-9099-C40C66FF867C}">
                  <a14:compatExt spid="_x0000_s144434"/>
                </a:ext>
                <a:ext uri="{FF2B5EF4-FFF2-40B4-BE49-F238E27FC236}">
                  <a16:creationId xmlns:a16="http://schemas.microsoft.com/office/drawing/2014/main" id="{00000000-0008-0000-1300-00003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144435" name="Check_x0020_Box_x0020_54" hidden="1">
              <a:extLst>
                <a:ext uri="{63B3BB69-23CF-44E3-9099-C40C66FF867C}">
                  <a14:compatExt spid="_x0000_s144435"/>
                </a:ext>
                <a:ext uri="{FF2B5EF4-FFF2-40B4-BE49-F238E27FC236}">
                  <a16:creationId xmlns:a16="http://schemas.microsoft.com/office/drawing/2014/main" id="{00000000-0008-0000-1300-00003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144436" name="Check_x0020_Box_x0020_55" hidden="1">
              <a:extLst>
                <a:ext uri="{63B3BB69-23CF-44E3-9099-C40C66FF867C}">
                  <a14:compatExt spid="_x0000_s144436"/>
                </a:ext>
                <a:ext uri="{FF2B5EF4-FFF2-40B4-BE49-F238E27FC236}">
                  <a16:creationId xmlns:a16="http://schemas.microsoft.com/office/drawing/2014/main" id="{00000000-0008-0000-1300-00003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144437" name="Check_x0020_Box_x0020_56" hidden="1">
              <a:extLst>
                <a:ext uri="{63B3BB69-23CF-44E3-9099-C40C66FF867C}">
                  <a14:compatExt spid="_x0000_s144437"/>
                </a:ext>
                <a:ext uri="{FF2B5EF4-FFF2-40B4-BE49-F238E27FC236}">
                  <a16:creationId xmlns:a16="http://schemas.microsoft.com/office/drawing/2014/main" id="{00000000-0008-0000-1300-00003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144438" name="Check_x0020_Box_x0020_57" hidden="1">
              <a:extLst>
                <a:ext uri="{63B3BB69-23CF-44E3-9099-C40C66FF867C}">
                  <a14:compatExt spid="_x0000_s144438"/>
                </a:ext>
                <a:ext uri="{FF2B5EF4-FFF2-40B4-BE49-F238E27FC236}">
                  <a16:creationId xmlns:a16="http://schemas.microsoft.com/office/drawing/2014/main" id="{00000000-0008-0000-1300-00003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144439" name="Check_x0020_Box_x0020_58" hidden="1">
              <a:extLst>
                <a:ext uri="{63B3BB69-23CF-44E3-9099-C40C66FF867C}">
                  <a14:compatExt spid="_x0000_s144439"/>
                </a:ext>
                <a:ext uri="{FF2B5EF4-FFF2-40B4-BE49-F238E27FC236}">
                  <a16:creationId xmlns:a16="http://schemas.microsoft.com/office/drawing/2014/main" id="{00000000-0008-0000-1300-00003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144440" name="Check_x0020_Box_x0020_59" hidden="1">
              <a:extLst>
                <a:ext uri="{63B3BB69-23CF-44E3-9099-C40C66FF867C}">
                  <a14:compatExt spid="_x0000_s144440"/>
                </a:ext>
                <a:ext uri="{FF2B5EF4-FFF2-40B4-BE49-F238E27FC236}">
                  <a16:creationId xmlns:a16="http://schemas.microsoft.com/office/drawing/2014/main" id="{00000000-0008-0000-1300-00003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144441" name="Check_x0020_Box_x0020_60" hidden="1">
              <a:extLst>
                <a:ext uri="{63B3BB69-23CF-44E3-9099-C40C66FF867C}">
                  <a14:compatExt spid="_x0000_s144441"/>
                </a:ext>
                <a:ext uri="{FF2B5EF4-FFF2-40B4-BE49-F238E27FC236}">
                  <a16:creationId xmlns:a16="http://schemas.microsoft.com/office/drawing/2014/main" id="{00000000-0008-0000-1300-00003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144442" name="Check_x0020_Box_x0020_61" hidden="1">
              <a:extLst>
                <a:ext uri="{63B3BB69-23CF-44E3-9099-C40C66FF867C}">
                  <a14:compatExt spid="_x0000_s144442"/>
                </a:ext>
                <a:ext uri="{FF2B5EF4-FFF2-40B4-BE49-F238E27FC236}">
                  <a16:creationId xmlns:a16="http://schemas.microsoft.com/office/drawing/2014/main" id="{00000000-0008-0000-1300-00003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23</xdr:row>
          <xdr:rowOff>180975</xdr:rowOff>
        </xdr:from>
        <xdr:to>
          <xdr:col>12</xdr:col>
          <xdr:colOff>38100</xdr:colOff>
          <xdr:row>25</xdr:row>
          <xdr:rowOff>9525</xdr:rowOff>
        </xdr:to>
        <xdr:sp macro="" textlink="">
          <xdr:nvSpPr>
            <xdr:cNvPr id="144443" name="Check_x0020_Box_x0020_62" hidden="1">
              <a:extLst>
                <a:ext uri="{63B3BB69-23CF-44E3-9099-C40C66FF867C}">
                  <a14:compatExt spid="_x0000_s144443"/>
                </a:ext>
                <a:ext uri="{FF2B5EF4-FFF2-40B4-BE49-F238E27FC236}">
                  <a16:creationId xmlns:a16="http://schemas.microsoft.com/office/drawing/2014/main" id="{00000000-0008-0000-1300-00003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144444" name="Check_x0020_Box_x0020_63" hidden="1">
              <a:extLst>
                <a:ext uri="{63B3BB69-23CF-44E3-9099-C40C66FF867C}">
                  <a14:compatExt spid="_x0000_s144444"/>
                </a:ext>
                <a:ext uri="{FF2B5EF4-FFF2-40B4-BE49-F238E27FC236}">
                  <a16:creationId xmlns:a16="http://schemas.microsoft.com/office/drawing/2014/main" id="{00000000-0008-0000-1300-00003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180975</xdr:rowOff>
        </xdr:from>
        <xdr:to>
          <xdr:col>16</xdr:col>
          <xdr:colOff>38100</xdr:colOff>
          <xdr:row>45</xdr:row>
          <xdr:rowOff>9525</xdr:rowOff>
        </xdr:to>
        <xdr:sp macro="" textlink="">
          <xdr:nvSpPr>
            <xdr:cNvPr id="144445" name="Check_x0020_Box_x0020_64" hidden="1">
              <a:extLst>
                <a:ext uri="{63B3BB69-23CF-44E3-9099-C40C66FF867C}">
                  <a14:compatExt spid="_x0000_s144445"/>
                </a:ext>
                <a:ext uri="{FF2B5EF4-FFF2-40B4-BE49-F238E27FC236}">
                  <a16:creationId xmlns:a16="http://schemas.microsoft.com/office/drawing/2014/main" id="{00000000-0008-0000-1300-00003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43</xdr:row>
          <xdr:rowOff>180975</xdr:rowOff>
        </xdr:from>
        <xdr:to>
          <xdr:col>19</xdr:col>
          <xdr:colOff>38100</xdr:colOff>
          <xdr:row>45</xdr:row>
          <xdr:rowOff>9525</xdr:rowOff>
        </xdr:to>
        <xdr:sp macro="" textlink="">
          <xdr:nvSpPr>
            <xdr:cNvPr id="144446" name="Check_x0020_Box_x0020_65" hidden="1">
              <a:extLst>
                <a:ext uri="{63B3BB69-23CF-44E3-9099-C40C66FF867C}">
                  <a14:compatExt spid="_x0000_s144446"/>
                </a:ext>
                <a:ext uri="{FF2B5EF4-FFF2-40B4-BE49-F238E27FC236}">
                  <a16:creationId xmlns:a16="http://schemas.microsoft.com/office/drawing/2014/main" id="{00000000-0008-0000-1300-00003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43</xdr:row>
          <xdr:rowOff>180975</xdr:rowOff>
        </xdr:from>
        <xdr:to>
          <xdr:col>23</xdr:col>
          <xdr:colOff>38100</xdr:colOff>
          <xdr:row>45</xdr:row>
          <xdr:rowOff>9525</xdr:rowOff>
        </xdr:to>
        <xdr:sp macro="" textlink="">
          <xdr:nvSpPr>
            <xdr:cNvPr id="144447" name="Check_x0020_Box_x0020_66" hidden="1">
              <a:extLst>
                <a:ext uri="{63B3BB69-23CF-44E3-9099-C40C66FF867C}">
                  <a14:compatExt spid="_x0000_s144447"/>
                </a:ext>
                <a:ext uri="{FF2B5EF4-FFF2-40B4-BE49-F238E27FC236}">
                  <a16:creationId xmlns:a16="http://schemas.microsoft.com/office/drawing/2014/main" id="{00000000-0008-0000-1300-00003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43</xdr:row>
          <xdr:rowOff>180975</xdr:rowOff>
        </xdr:from>
        <xdr:to>
          <xdr:col>12</xdr:col>
          <xdr:colOff>38100</xdr:colOff>
          <xdr:row>45</xdr:row>
          <xdr:rowOff>9525</xdr:rowOff>
        </xdr:to>
        <xdr:sp macro="" textlink="">
          <xdr:nvSpPr>
            <xdr:cNvPr id="144448" name="Check_x0020_Box_x0020_67" hidden="1">
              <a:extLst>
                <a:ext uri="{63B3BB69-23CF-44E3-9099-C40C66FF867C}">
                  <a14:compatExt spid="_x0000_s144448"/>
                </a:ext>
                <a:ext uri="{FF2B5EF4-FFF2-40B4-BE49-F238E27FC236}">
                  <a16:creationId xmlns:a16="http://schemas.microsoft.com/office/drawing/2014/main" id="{00000000-0008-0000-1300-00004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44</xdr:row>
          <xdr:rowOff>180975</xdr:rowOff>
        </xdr:from>
        <xdr:to>
          <xdr:col>12</xdr:col>
          <xdr:colOff>38100</xdr:colOff>
          <xdr:row>46</xdr:row>
          <xdr:rowOff>9525</xdr:rowOff>
        </xdr:to>
        <xdr:sp macro="" textlink="">
          <xdr:nvSpPr>
            <xdr:cNvPr id="144449" name="Check_x0020_Box_x0020_68" hidden="1">
              <a:extLst>
                <a:ext uri="{63B3BB69-23CF-44E3-9099-C40C66FF867C}">
                  <a14:compatExt spid="_x0000_s144449"/>
                </a:ext>
                <a:ext uri="{FF2B5EF4-FFF2-40B4-BE49-F238E27FC236}">
                  <a16:creationId xmlns:a16="http://schemas.microsoft.com/office/drawing/2014/main" id="{00000000-0008-0000-1300-00004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44</xdr:row>
          <xdr:rowOff>180975</xdr:rowOff>
        </xdr:from>
        <xdr:to>
          <xdr:col>21</xdr:col>
          <xdr:colOff>38100</xdr:colOff>
          <xdr:row>46</xdr:row>
          <xdr:rowOff>9525</xdr:rowOff>
        </xdr:to>
        <xdr:sp macro="" textlink="">
          <xdr:nvSpPr>
            <xdr:cNvPr id="144450" name="Check_x0020_Box_x0020_69" hidden="1">
              <a:extLst>
                <a:ext uri="{63B3BB69-23CF-44E3-9099-C40C66FF867C}">
                  <a14:compatExt spid="_x0000_s144450"/>
                </a:ext>
                <a:ext uri="{FF2B5EF4-FFF2-40B4-BE49-F238E27FC236}">
                  <a16:creationId xmlns:a16="http://schemas.microsoft.com/office/drawing/2014/main" id="{00000000-0008-0000-1300-00004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144451" name="Check_x0020_Box_x0020_70" hidden="1">
              <a:extLst>
                <a:ext uri="{63B3BB69-23CF-44E3-9099-C40C66FF867C}">
                  <a14:compatExt spid="_x0000_s144451"/>
                </a:ext>
                <a:ext uri="{FF2B5EF4-FFF2-40B4-BE49-F238E27FC236}">
                  <a16:creationId xmlns:a16="http://schemas.microsoft.com/office/drawing/2014/main" id="{00000000-0008-0000-1300-00004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144452" name="Check_x0020_Box_x0020_71" hidden="1">
              <a:extLst>
                <a:ext uri="{63B3BB69-23CF-44E3-9099-C40C66FF867C}">
                  <a14:compatExt spid="_x0000_s144452"/>
                </a:ext>
                <a:ext uri="{FF2B5EF4-FFF2-40B4-BE49-F238E27FC236}">
                  <a16:creationId xmlns:a16="http://schemas.microsoft.com/office/drawing/2014/main" id="{00000000-0008-0000-1300-00004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144453" name="Check_x0020_Box_x0020_72" hidden="1">
              <a:extLst>
                <a:ext uri="{63B3BB69-23CF-44E3-9099-C40C66FF867C}">
                  <a14:compatExt spid="_x0000_s144453"/>
                </a:ext>
                <a:ext uri="{FF2B5EF4-FFF2-40B4-BE49-F238E27FC236}">
                  <a16:creationId xmlns:a16="http://schemas.microsoft.com/office/drawing/2014/main" id="{00000000-0008-0000-1300-00004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144454" name="Check_x0020_Box_x0020_73" hidden="1">
              <a:extLst>
                <a:ext uri="{63B3BB69-23CF-44E3-9099-C40C66FF867C}">
                  <a14:compatExt spid="_x0000_s144454"/>
                </a:ext>
                <a:ext uri="{FF2B5EF4-FFF2-40B4-BE49-F238E27FC236}">
                  <a16:creationId xmlns:a16="http://schemas.microsoft.com/office/drawing/2014/main" id="{00000000-0008-0000-1300-00004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4455" name="Check_x0020_Box_x0020_74" hidden="1">
              <a:extLst>
                <a:ext uri="{63B3BB69-23CF-44E3-9099-C40C66FF867C}">
                  <a14:compatExt spid="_x0000_s144455"/>
                </a:ext>
                <a:ext uri="{FF2B5EF4-FFF2-40B4-BE49-F238E27FC236}">
                  <a16:creationId xmlns:a16="http://schemas.microsoft.com/office/drawing/2014/main" id="{00000000-0008-0000-1300-00004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4456" name="Check_x0020_Box_x0020_75" hidden="1">
              <a:extLst>
                <a:ext uri="{63B3BB69-23CF-44E3-9099-C40C66FF867C}">
                  <a14:compatExt spid="_x0000_s144456"/>
                </a:ext>
                <a:ext uri="{FF2B5EF4-FFF2-40B4-BE49-F238E27FC236}">
                  <a16:creationId xmlns:a16="http://schemas.microsoft.com/office/drawing/2014/main" id="{00000000-0008-0000-1300-00004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144457" name="Check_x0020_Box_x0020_76" hidden="1">
              <a:extLst>
                <a:ext uri="{63B3BB69-23CF-44E3-9099-C40C66FF867C}">
                  <a14:compatExt spid="_x0000_s144457"/>
                </a:ext>
                <a:ext uri="{FF2B5EF4-FFF2-40B4-BE49-F238E27FC236}">
                  <a16:creationId xmlns:a16="http://schemas.microsoft.com/office/drawing/2014/main" id="{00000000-0008-0000-1300-00004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144458" name="Check_x0020_Box_x0020_77" hidden="1">
              <a:extLst>
                <a:ext uri="{63B3BB69-23CF-44E3-9099-C40C66FF867C}">
                  <a14:compatExt spid="_x0000_s144458"/>
                </a:ext>
                <a:ext uri="{FF2B5EF4-FFF2-40B4-BE49-F238E27FC236}">
                  <a16:creationId xmlns:a16="http://schemas.microsoft.com/office/drawing/2014/main" id="{00000000-0008-0000-1300-00004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144459" name="Check_x0020_Box_x0020_78" hidden="1">
              <a:extLst>
                <a:ext uri="{63B3BB69-23CF-44E3-9099-C40C66FF867C}">
                  <a14:compatExt spid="_x0000_s144459"/>
                </a:ext>
                <a:ext uri="{FF2B5EF4-FFF2-40B4-BE49-F238E27FC236}">
                  <a16:creationId xmlns:a16="http://schemas.microsoft.com/office/drawing/2014/main" id="{00000000-0008-0000-1300-00004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144460" name="Check_x0020_Box_x0020_79" hidden="1">
              <a:extLst>
                <a:ext uri="{63B3BB69-23CF-44E3-9099-C40C66FF867C}">
                  <a14:compatExt spid="_x0000_s144460"/>
                </a:ext>
                <a:ext uri="{FF2B5EF4-FFF2-40B4-BE49-F238E27FC236}">
                  <a16:creationId xmlns:a16="http://schemas.microsoft.com/office/drawing/2014/main" id="{00000000-0008-0000-1300-00004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144461" name="Check_x0020_Box_x0020_80" hidden="1">
              <a:extLst>
                <a:ext uri="{63B3BB69-23CF-44E3-9099-C40C66FF867C}">
                  <a14:compatExt spid="_x0000_s144461"/>
                </a:ext>
                <a:ext uri="{FF2B5EF4-FFF2-40B4-BE49-F238E27FC236}">
                  <a16:creationId xmlns:a16="http://schemas.microsoft.com/office/drawing/2014/main" id="{00000000-0008-0000-1300-00004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144462" name="Check_x0020_Box_x0020_81" hidden="1">
              <a:extLst>
                <a:ext uri="{63B3BB69-23CF-44E3-9099-C40C66FF867C}">
                  <a14:compatExt spid="_x0000_s144462"/>
                </a:ext>
                <a:ext uri="{FF2B5EF4-FFF2-40B4-BE49-F238E27FC236}">
                  <a16:creationId xmlns:a16="http://schemas.microsoft.com/office/drawing/2014/main" id="{00000000-0008-0000-1300-00004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144463" name="Check_x0020_Box_x0020_83" hidden="1">
              <a:extLst>
                <a:ext uri="{63B3BB69-23CF-44E3-9099-C40C66FF867C}">
                  <a14:compatExt spid="_x0000_s144463"/>
                </a:ext>
                <a:ext uri="{FF2B5EF4-FFF2-40B4-BE49-F238E27FC236}">
                  <a16:creationId xmlns:a16="http://schemas.microsoft.com/office/drawing/2014/main" id="{00000000-0008-0000-1300-00004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144464" name="Check_x0020_Box_x0020_84" hidden="1">
              <a:extLst>
                <a:ext uri="{63B3BB69-23CF-44E3-9099-C40C66FF867C}">
                  <a14:compatExt spid="_x0000_s144464"/>
                </a:ext>
                <a:ext uri="{FF2B5EF4-FFF2-40B4-BE49-F238E27FC236}">
                  <a16:creationId xmlns:a16="http://schemas.microsoft.com/office/drawing/2014/main" id="{00000000-0008-0000-1300-00005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144465" name="Check_x0020_Box_x0020_85" hidden="1">
              <a:extLst>
                <a:ext uri="{63B3BB69-23CF-44E3-9099-C40C66FF867C}">
                  <a14:compatExt spid="_x0000_s144465"/>
                </a:ext>
                <a:ext uri="{FF2B5EF4-FFF2-40B4-BE49-F238E27FC236}">
                  <a16:creationId xmlns:a16="http://schemas.microsoft.com/office/drawing/2014/main" id="{00000000-0008-0000-1300-00005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144466" name="Check_x0020_Box_x0020_86" hidden="1">
              <a:extLst>
                <a:ext uri="{63B3BB69-23CF-44E3-9099-C40C66FF867C}">
                  <a14:compatExt spid="_x0000_s144466"/>
                </a:ext>
                <a:ext uri="{FF2B5EF4-FFF2-40B4-BE49-F238E27FC236}">
                  <a16:creationId xmlns:a16="http://schemas.microsoft.com/office/drawing/2014/main" id="{00000000-0008-0000-1300-00005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144467" name="Check_x0020_Box_x0020_87" hidden="1">
              <a:extLst>
                <a:ext uri="{63B3BB69-23CF-44E3-9099-C40C66FF867C}">
                  <a14:compatExt spid="_x0000_s144467"/>
                </a:ext>
                <a:ext uri="{FF2B5EF4-FFF2-40B4-BE49-F238E27FC236}">
                  <a16:creationId xmlns:a16="http://schemas.microsoft.com/office/drawing/2014/main" id="{00000000-0008-0000-1300-00005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144468" name="Check_x0020_Box_x0020_88" hidden="1">
              <a:extLst>
                <a:ext uri="{63B3BB69-23CF-44E3-9099-C40C66FF867C}">
                  <a14:compatExt spid="_x0000_s144468"/>
                </a:ext>
                <a:ext uri="{FF2B5EF4-FFF2-40B4-BE49-F238E27FC236}">
                  <a16:creationId xmlns:a16="http://schemas.microsoft.com/office/drawing/2014/main" id="{00000000-0008-0000-1300-00005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144469" name="Check_x0020_Box_x0020_89" hidden="1">
              <a:extLst>
                <a:ext uri="{63B3BB69-23CF-44E3-9099-C40C66FF867C}">
                  <a14:compatExt spid="_x0000_s144469"/>
                </a:ext>
                <a:ext uri="{FF2B5EF4-FFF2-40B4-BE49-F238E27FC236}">
                  <a16:creationId xmlns:a16="http://schemas.microsoft.com/office/drawing/2014/main" id="{00000000-0008-0000-1300-00005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144470" name="Check_x0020_Box_x0020_90" hidden="1">
              <a:extLst>
                <a:ext uri="{63B3BB69-23CF-44E3-9099-C40C66FF867C}">
                  <a14:compatExt spid="_x0000_s144470"/>
                </a:ext>
                <a:ext uri="{FF2B5EF4-FFF2-40B4-BE49-F238E27FC236}">
                  <a16:creationId xmlns:a16="http://schemas.microsoft.com/office/drawing/2014/main" id="{00000000-0008-0000-1300-00005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144471" name="Check_x0020_Box_x0020_91" hidden="1">
              <a:extLst>
                <a:ext uri="{63B3BB69-23CF-44E3-9099-C40C66FF867C}">
                  <a14:compatExt spid="_x0000_s144471"/>
                </a:ext>
                <a:ext uri="{FF2B5EF4-FFF2-40B4-BE49-F238E27FC236}">
                  <a16:creationId xmlns:a16="http://schemas.microsoft.com/office/drawing/2014/main" id="{00000000-0008-0000-1300-00005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144472" name="Check_x0020_Box_x0020_92" hidden="1">
              <a:extLst>
                <a:ext uri="{63B3BB69-23CF-44E3-9099-C40C66FF867C}">
                  <a14:compatExt spid="_x0000_s144472"/>
                </a:ext>
                <a:ext uri="{FF2B5EF4-FFF2-40B4-BE49-F238E27FC236}">
                  <a16:creationId xmlns:a16="http://schemas.microsoft.com/office/drawing/2014/main" id="{00000000-0008-0000-1300-00005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144473" name="Check_x0020_Box_x0020_93" hidden="1">
              <a:extLst>
                <a:ext uri="{63B3BB69-23CF-44E3-9099-C40C66FF867C}">
                  <a14:compatExt spid="_x0000_s144473"/>
                </a:ext>
                <a:ext uri="{FF2B5EF4-FFF2-40B4-BE49-F238E27FC236}">
                  <a16:creationId xmlns:a16="http://schemas.microsoft.com/office/drawing/2014/main" id="{00000000-0008-0000-1300-00005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144474" name="Check_x0020_Box_x0020_94" hidden="1">
              <a:extLst>
                <a:ext uri="{63B3BB69-23CF-44E3-9099-C40C66FF867C}">
                  <a14:compatExt spid="_x0000_s144474"/>
                </a:ext>
                <a:ext uri="{FF2B5EF4-FFF2-40B4-BE49-F238E27FC236}">
                  <a16:creationId xmlns:a16="http://schemas.microsoft.com/office/drawing/2014/main" id="{00000000-0008-0000-1300-00005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4475" name="Check_x0020_Box_x0020_95" hidden="1">
              <a:extLst>
                <a:ext uri="{63B3BB69-23CF-44E3-9099-C40C66FF867C}">
                  <a14:compatExt spid="_x0000_s144475"/>
                </a:ext>
                <a:ext uri="{FF2B5EF4-FFF2-40B4-BE49-F238E27FC236}">
                  <a16:creationId xmlns:a16="http://schemas.microsoft.com/office/drawing/2014/main" id="{00000000-0008-0000-1300-00005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4476" name="Check_x0020_Box_x0020_96" hidden="1">
              <a:extLst>
                <a:ext uri="{63B3BB69-23CF-44E3-9099-C40C66FF867C}">
                  <a14:compatExt spid="_x0000_s144476"/>
                </a:ext>
                <a:ext uri="{FF2B5EF4-FFF2-40B4-BE49-F238E27FC236}">
                  <a16:creationId xmlns:a16="http://schemas.microsoft.com/office/drawing/2014/main" id="{00000000-0008-0000-1300-00005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4477" name="Check_x0020_Box_x0020_97" hidden="1">
              <a:extLst>
                <a:ext uri="{63B3BB69-23CF-44E3-9099-C40C66FF867C}">
                  <a14:compatExt spid="_x0000_s144477"/>
                </a:ext>
                <a:ext uri="{FF2B5EF4-FFF2-40B4-BE49-F238E27FC236}">
                  <a16:creationId xmlns:a16="http://schemas.microsoft.com/office/drawing/2014/main" id="{00000000-0008-0000-1300-00005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4478" name="Check_x0020_Box_x0020_98" hidden="1">
              <a:extLst>
                <a:ext uri="{63B3BB69-23CF-44E3-9099-C40C66FF867C}">
                  <a14:compatExt spid="_x0000_s144478"/>
                </a:ext>
                <a:ext uri="{FF2B5EF4-FFF2-40B4-BE49-F238E27FC236}">
                  <a16:creationId xmlns:a16="http://schemas.microsoft.com/office/drawing/2014/main" id="{00000000-0008-0000-1300-00005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4479" name="Check_x0020_Box_x0020_99" hidden="1">
              <a:extLst>
                <a:ext uri="{63B3BB69-23CF-44E3-9099-C40C66FF867C}">
                  <a14:compatExt spid="_x0000_s144479"/>
                </a:ext>
                <a:ext uri="{FF2B5EF4-FFF2-40B4-BE49-F238E27FC236}">
                  <a16:creationId xmlns:a16="http://schemas.microsoft.com/office/drawing/2014/main" id="{00000000-0008-0000-1300-00005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4480" name="Check_x0020_Box_x0020_100" hidden="1">
              <a:extLst>
                <a:ext uri="{63B3BB69-23CF-44E3-9099-C40C66FF867C}">
                  <a14:compatExt spid="_x0000_s144480"/>
                </a:ext>
                <a:ext uri="{FF2B5EF4-FFF2-40B4-BE49-F238E27FC236}">
                  <a16:creationId xmlns:a16="http://schemas.microsoft.com/office/drawing/2014/main" id="{00000000-0008-0000-1300-00006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144481" name="Check_x0020_Box_x0020_101" hidden="1">
              <a:extLst>
                <a:ext uri="{63B3BB69-23CF-44E3-9099-C40C66FF867C}">
                  <a14:compatExt spid="_x0000_s144481"/>
                </a:ext>
                <a:ext uri="{FF2B5EF4-FFF2-40B4-BE49-F238E27FC236}">
                  <a16:creationId xmlns:a16="http://schemas.microsoft.com/office/drawing/2014/main" id="{00000000-0008-0000-1300-00006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144482" name="Check_x0020_Box_x0020_103" hidden="1">
              <a:extLst>
                <a:ext uri="{63B3BB69-23CF-44E3-9099-C40C66FF867C}">
                  <a14:compatExt spid="_x0000_s144482"/>
                </a:ext>
                <a:ext uri="{FF2B5EF4-FFF2-40B4-BE49-F238E27FC236}">
                  <a16:creationId xmlns:a16="http://schemas.microsoft.com/office/drawing/2014/main" id="{00000000-0008-0000-1300-00006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144483" name="Check_x0020_Box_x0020_104" hidden="1">
              <a:extLst>
                <a:ext uri="{63B3BB69-23CF-44E3-9099-C40C66FF867C}">
                  <a14:compatExt spid="_x0000_s144483"/>
                </a:ext>
                <a:ext uri="{FF2B5EF4-FFF2-40B4-BE49-F238E27FC236}">
                  <a16:creationId xmlns:a16="http://schemas.microsoft.com/office/drawing/2014/main" id="{00000000-0008-0000-1300-00006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144484" name="Check_x0020_Box_x0020_105" hidden="1">
              <a:extLst>
                <a:ext uri="{63B3BB69-23CF-44E3-9099-C40C66FF867C}">
                  <a14:compatExt spid="_x0000_s144484"/>
                </a:ext>
                <a:ext uri="{FF2B5EF4-FFF2-40B4-BE49-F238E27FC236}">
                  <a16:creationId xmlns:a16="http://schemas.microsoft.com/office/drawing/2014/main" id="{00000000-0008-0000-1300-00006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144485" name="Check_x0020_Box_x0020_106" hidden="1">
              <a:extLst>
                <a:ext uri="{63B3BB69-23CF-44E3-9099-C40C66FF867C}">
                  <a14:compatExt spid="_x0000_s144485"/>
                </a:ext>
                <a:ext uri="{FF2B5EF4-FFF2-40B4-BE49-F238E27FC236}">
                  <a16:creationId xmlns:a16="http://schemas.microsoft.com/office/drawing/2014/main" id="{00000000-0008-0000-1300-00006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144486" name="Check_x0020_Box_x0020_107" hidden="1">
              <a:extLst>
                <a:ext uri="{63B3BB69-23CF-44E3-9099-C40C66FF867C}">
                  <a14:compatExt spid="_x0000_s144486"/>
                </a:ext>
                <a:ext uri="{FF2B5EF4-FFF2-40B4-BE49-F238E27FC236}">
                  <a16:creationId xmlns:a16="http://schemas.microsoft.com/office/drawing/2014/main" id="{00000000-0008-0000-1300-00006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144487" name="Check_x0020_Box_x0020_109" hidden="1">
              <a:extLst>
                <a:ext uri="{63B3BB69-23CF-44E3-9099-C40C66FF867C}">
                  <a14:compatExt spid="_x0000_s144487"/>
                </a:ext>
                <a:ext uri="{FF2B5EF4-FFF2-40B4-BE49-F238E27FC236}">
                  <a16:creationId xmlns:a16="http://schemas.microsoft.com/office/drawing/2014/main" id="{00000000-0008-0000-1300-00006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144488" name="Check_x0020_Box_x0020_102" hidden="1">
              <a:extLst>
                <a:ext uri="{63B3BB69-23CF-44E3-9099-C40C66FF867C}">
                  <a14:compatExt spid="_x0000_s144488"/>
                </a:ext>
                <a:ext uri="{FF2B5EF4-FFF2-40B4-BE49-F238E27FC236}">
                  <a16:creationId xmlns:a16="http://schemas.microsoft.com/office/drawing/2014/main" id="{00000000-0008-0000-1300-00006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66675</xdr:colOff>
          <xdr:row>52</xdr:row>
          <xdr:rowOff>19050</xdr:rowOff>
        </xdr:to>
        <xdr:sp macro="" textlink="">
          <xdr:nvSpPr>
            <xdr:cNvPr id="144489" name="Check Box 105" hidden="1">
              <a:extLst>
                <a:ext uri="{63B3BB69-23CF-44E3-9099-C40C66FF867C}">
                  <a14:compatExt spid="_x0000_s144489"/>
                </a:ext>
                <a:ext uri="{FF2B5EF4-FFF2-40B4-BE49-F238E27FC236}">
                  <a16:creationId xmlns:a16="http://schemas.microsoft.com/office/drawing/2014/main" id="{00000000-0008-0000-1300-00006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0</xdr:rowOff>
        </xdr:from>
        <xdr:to>
          <xdr:col>31</xdr:col>
          <xdr:colOff>66675</xdr:colOff>
          <xdr:row>52</xdr:row>
          <xdr:rowOff>19050</xdr:rowOff>
        </xdr:to>
        <xdr:sp macro="" textlink="">
          <xdr:nvSpPr>
            <xdr:cNvPr id="144490" name="Check Box 106" hidden="1">
              <a:extLst>
                <a:ext uri="{63B3BB69-23CF-44E3-9099-C40C66FF867C}">
                  <a14:compatExt spid="_x0000_s144490"/>
                </a:ext>
                <a:ext uri="{FF2B5EF4-FFF2-40B4-BE49-F238E27FC236}">
                  <a16:creationId xmlns:a16="http://schemas.microsoft.com/office/drawing/2014/main" id="{00000000-0008-0000-1300-00006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0</xdr:rowOff>
        </xdr:from>
        <xdr:to>
          <xdr:col>12</xdr:col>
          <xdr:colOff>38100</xdr:colOff>
          <xdr:row>52</xdr:row>
          <xdr:rowOff>19050</xdr:rowOff>
        </xdr:to>
        <xdr:sp macro="" textlink="">
          <xdr:nvSpPr>
            <xdr:cNvPr id="144491" name="Check Box 107" hidden="1">
              <a:extLst>
                <a:ext uri="{63B3BB69-23CF-44E3-9099-C40C66FF867C}">
                  <a14:compatExt spid="_x0000_s144491"/>
                </a:ext>
                <a:ext uri="{FF2B5EF4-FFF2-40B4-BE49-F238E27FC236}">
                  <a16:creationId xmlns:a16="http://schemas.microsoft.com/office/drawing/2014/main" id="{00000000-0008-0000-1300-00006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180975</xdr:rowOff>
        </xdr:from>
        <xdr:to>
          <xdr:col>9</xdr:col>
          <xdr:colOff>66675</xdr:colOff>
          <xdr:row>53</xdr:row>
          <xdr:rowOff>9525</xdr:rowOff>
        </xdr:to>
        <xdr:sp macro="" textlink="">
          <xdr:nvSpPr>
            <xdr:cNvPr id="144492" name="Check Box 108" hidden="1">
              <a:extLst>
                <a:ext uri="{63B3BB69-23CF-44E3-9099-C40C66FF867C}">
                  <a14:compatExt spid="_x0000_s144492"/>
                </a:ext>
                <a:ext uri="{FF2B5EF4-FFF2-40B4-BE49-F238E27FC236}">
                  <a16:creationId xmlns:a16="http://schemas.microsoft.com/office/drawing/2014/main" id="{00000000-0008-0000-1300-00006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180975</xdr:rowOff>
        </xdr:from>
        <xdr:to>
          <xdr:col>31</xdr:col>
          <xdr:colOff>66675</xdr:colOff>
          <xdr:row>53</xdr:row>
          <xdr:rowOff>9525</xdr:rowOff>
        </xdr:to>
        <xdr:sp macro="" textlink="">
          <xdr:nvSpPr>
            <xdr:cNvPr id="144493" name="Check Box 109" hidden="1">
              <a:extLst>
                <a:ext uri="{63B3BB69-23CF-44E3-9099-C40C66FF867C}">
                  <a14:compatExt spid="_x0000_s144493"/>
                </a:ext>
                <a:ext uri="{FF2B5EF4-FFF2-40B4-BE49-F238E27FC236}">
                  <a16:creationId xmlns:a16="http://schemas.microsoft.com/office/drawing/2014/main" id="{00000000-0008-0000-1300-00006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180975</xdr:rowOff>
        </xdr:from>
        <xdr:to>
          <xdr:col>12</xdr:col>
          <xdr:colOff>38100</xdr:colOff>
          <xdr:row>53</xdr:row>
          <xdr:rowOff>9525</xdr:rowOff>
        </xdr:to>
        <xdr:sp macro="" textlink="">
          <xdr:nvSpPr>
            <xdr:cNvPr id="144494" name="Check Box 110" hidden="1">
              <a:extLst>
                <a:ext uri="{63B3BB69-23CF-44E3-9099-C40C66FF867C}">
                  <a14:compatExt spid="_x0000_s144494"/>
                </a:ext>
                <a:ext uri="{FF2B5EF4-FFF2-40B4-BE49-F238E27FC236}">
                  <a16:creationId xmlns:a16="http://schemas.microsoft.com/office/drawing/2014/main" id="{00000000-0008-0000-1300-00006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180975</xdr:rowOff>
        </xdr:from>
        <xdr:to>
          <xdr:col>5</xdr:col>
          <xdr:colOff>47625</xdr:colOff>
          <xdr:row>58</xdr:row>
          <xdr:rowOff>9525</xdr:rowOff>
        </xdr:to>
        <xdr:sp macro="" textlink="">
          <xdr:nvSpPr>
            <xdr:cNvPr id="144495" name="Check Box 111" hidden="1">
              <a:extLst>
                <a:ext uri="{63B3BB69-23CF-44E3-9099-C40C66FF867C}">
                  <a14:compatExt spid="_x0000_s144495"/>
                </a:ext>
                <a:ext uri="{FF2B5EF4-FFF2-40B4-BE49-F238E27FC236}">
                  <a16:creationId xmlns:a16="http://schemas.microsoft.com/office/drawing/2014/main" id="{00000000-0008-0000-1300-00006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180975</xdr:rowOff>
        </xdr:from>
        <xdr:to>
          <xdr:col>16</xdr:col>
          <xdr:colOff>38100</xdr:colOff>
          <xdr:row>53</xdr:row>
          <xdr:rowOff>9525</xdr:rowOff>
        </xdr:to>
        <xdr:sp macro="" textlink="">
          <xdr:nvSpPr>
            <xdr:cNvPr id="144496" name="Check Box 112" hidden="1">
              <a:extLst>
                <a:ext uri="{63B3BB69-23CF-44E3-9099-C40C66FF867C}">
                  <a14:compatExt spid="_x0000_s144496"/>
                </a:ext>
                <a:ext uri="{FF2B5EF4-FFF2-40B4-BE49-F238E27FC236}">
                  <a16:creationId xmlns:a16="http://schemas.microsoft.com/office/drawing/2014/main" id="{00000000-0008-0000-1300-00007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180975</xdr:rowOff>
        </xdr:from>
        <xdr:to>
          <xdr:col>19</xdr:col>
          <xdr:colOff>38100</xdr:colOff>
          <xdr:row>53</xdr:row>
          <xdr:rowOff>9525</xdr:rowOff>
        </xdr:to>
        <xdr:sp macro="" textlink="">
          <xdr:nvSpPr>
            <xdr:cNvPr id="144497" name="Check Box 113" hidden="1">
              <a:extLst>
                <a:ext uri="{63B3BB69-23CF-44E3-9099-C40C66FF867C}">
                  <a14:compatExt spid="_x0000_s144497"/>
                </a:ext>
                <a:ext uri="{FF2B5EF4-FFF2-40B4-BE49-F238E27FC236}">
                  <a16:creationId xmlns:a16="http://schemas.microsoft.com/office/drawing/2014/main" id="{00000000-0008-0000-1300-00007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51</xdr:row>
          <xdr:rowOff>180975</xdr:rowOff>
        </xdr:from>
        <xdr:to>
          <xdr:col>23</xdr:col>
          <xdr:colOff>38100</xdr:colOff>
          <xdr:row>53</xdr:row>
          <xdr:rowOff>9525</xdr:rowOff>
        </xdr:to>
        <xdr:sp macro="" textlink="">
          <xdr:nvSpPr>
            <xdr:cNvPr id="144498" name="Check Box 114" hidden="1">
              <a:extLst>
                <a:ext uri="{63B3BB69-23CF-44E3-9099-C40C66FF867C}">
                  <a14:compatExt spid="_x0000_s144498"/>
                </a:ext>
                <a:ext uri="{FF2B5EF4-FFF2-40B4-BE49-F238E27FC236}">
                  <a16:creationId xmlns:a16="http://schemas.microsoft.com/office/drawing/2014/main" id="{00000000-0008-0000-1300-00007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4499" name="Check Box 115" hidden="1">
              <a:extLst>
                <a:ext uri="{63B3BB69-23CF-44E3-9099-C40C66FF867C}">
                  <a14:compatExt spid="_x0000_s144499"/>
                </a:ext>
                <a:ext uri="{FF2B5EF4-FFF2-40B4-BE49-F238E27FC236}">
                  <a16:creationId xmlns:a16="http://schemas.microsoft.com/office/drawing/2014/main" id="{00000000-0008-0000-1300-00007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4500" name="Check Box 116" hidden="1">
              <a:extLst>
                <a:ext uri="{63B3BB69-23CF-44E3-9099-C40C66FF867C}">
                  <a14:compatExt spid="_x0000_s144500"/>
                </a:ext>
                <a:ext uri="{FF2B5EF4-FFF2-40B4-BE49-F238E27FC236}">
                  <a16:creationId xmlns:a16="http://schemas.microsoft.com/office/drawing/2014/main" id="{00000000-0008-0000-1300-00007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4501" name="Check Box 117" hidden="1">
              <a:extLst>
                <a:ext uri="{63B3BB69-23CF-44E3-9099-C40C66FF867C}">
                  <a14:compatExt spid="_x0000_s144501"/>
                </a:ext>
                <a:ext uri="{FF2B5EF4-FFF2-40B4-BE49-F238E27FC236}">
                  <a16:creationId xmlns:a16="http://schemas.microsoft.com/office/drawing/2014/main" id="{00000000-0008-0000-1300-00007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4502" name="Check Box 118" hidden="1">
              <a:extLst>
                <a:ext uri="{63B3BB69-23CF-44E3-9099-C40C66FF867C}">
                  <a14:compatExt spid="_x0000_s144502"/>
                </a:ext>
                <a:ext uri="{FF2B5EF4-FFF2-40B4-BE49-F238E27FC236}">
                  <a16:creationId xmlns:a16="http://schemas.microsoft.com/office/drawing/2014/main" id="{00000000-0008-0000-1300-00007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144503" name="Check Box 119" hidden="1">
              <a:extLst>
                <a:ext uri="{63B3BB69-23CF-44E3-9099-C40C66FF867C}">
                  <a14:compatExt spid="_x0000_s144503"/>
                </a:ext>
                <a:ext uri="{FF2B5EF4-FFF2-40B4-BE49-F238E27FC236}">
                  <a16:creationId xmlns:a16="http://schemas.microsoft.com/office/drawing/2014/main" id="{00000000-0008-0000-1300-00007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144504" name="Check Box 120" hidden="1">
              <a:extLst>
                <a:ext uri="{63B3BB69-23CF-44E3-9099-C40C66FF867C}">
                  <a14:compatExt spid="_x0000_s144504"/>
                </a:ext>
                <a:ext uri="{FF2B5EF4-FFF2-40B4-BE49-F238E27FC236}">
                  <a16:creationId xmlns:a16="http://schemas.microsoft.com/office/drawing/2014/main" id="{00000000-0008-0000-1300-00007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144505" name="Check Box 121" hidden="1">
              <a:extLst>
                <a:ext uri="{63B3BB69-23CF-44E3-9099-C40C66FF867C}">
                  <a14:compatExt spid="_x0000_s144505"/>
                </a:ext>
                <a:ext uri="{FF2B5EF4-FFF2-40B4-BE49-F238E27FC236}">
                  <a16:creationId xmlns:a16="http://schemas.microsoft.com/office/drawing/2014/main" id="{00000000-0008-0000-1300-00007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54</xdr:row>
          <xdr:rowOff>180975</xdr:rowOff>
        </xdr:from>
        <xdr:to>
          <xdr:col>11</xdr:col>
          <xdr:colOff>38100</xdr:colOff>
          <xdr:row>56</xdr:row>
          <xdr:rowOff>9525</xdr:rowOff>
        </xdr:to>
        <xdr:sp macro="" textlink="">
          <xdr:nvSpPr>
            <xdr:cNvPr id="144506" name="Check Box 122" hidden="1">
              <a:extLst>
                <a:ext uri="{63B3BB69-23CF-44E3-9099-C40C66FF867C}">
                  <a14:compatExt spid="_x0000_s144506"/>
                </a:ext>
                <a:ext uri="{FF2B5EF4-FFF2-40B4-BE49-F238E27FC236}">
                  <a16:creationId xmlns:a16="http://schemas.microsoft.com/office/drawing/2014/main" id="{00000000-0008-0000-1300-00007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53</xdr:row>
          <xdr:rowOff>180975</xdr:rowOff>
        </xdr:from>
        <xdr:to>
          <xdr:col>5</xdr:col>
          <xdr:colOff>38100</xdr:colOff>
          <xdr:row>55</xdr:row>
          <xdr:rowOff>9525</xdr:rowOff>
        </xdr:to>
        <xdr:sp macro="" textlink="">
          <xdr:nvSpPr>
            <xdr:cNvPr id="144507" name="Check Box 123" hidden="1">
              <a:extLst>
                <a:ext uri="{63B3BB69-23CF-44E3-9099-C40C66FF867C}">
                  <a14:compatExt spid="_x0000_s144507"/>
                </a:ext>
                <a:ext uri="{FF2B5EF4-FFF2-40B4-BE49-F238E27FC236}">
                  <a16:creationId xmlns:a16="http://schemas.microsoft.com/office/drawing/2014/main" id="{00000000-0008-0000-1300-00007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54</xdr:row>
          <xdr:rowOff>180975</xdr:rowOff>
        </xdr:from>
        <xdr:to>
          <xdr:col>5</xdr:col>
          <xdr:colOff>38100</xdr:colOff>
          <xdr:row>56</xdr:row>
          <xdr:rowOff>9525</xdr:rowOff>
        </xdr:to>
        <xdr:sp macro="" textlink="">
          <xdr:nvSpPr>
            <xdr:cNvPr id="144508" name="Check Box 124" hidden="1">
              <a:extLst>
                <a:ext uri="{63B3BB69-23CF-44E3-9099-C40C66FF867C}">
                  <a14:compatExt spid="_x0000_s144508"/>
                </a:ext>
                <a:ext uri="{FF2B5EF4-FFF2-40B4-BE49-F238E27FC236}">
                  <a16:creationId xmlns:a16="http://schemas.microsoft.com/office/drawing/2014/main" id="{00000000-0008-0000-1300-00007C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55</xdr:row>
          <xdr:rowOff>180975</xdr:rowOff>
        </xdr:from>
        <xdr:to>
          <xdr:col>11</xdr:col>
          <xdr:colOff>38100</xdr:colOff>
          <xdr:row>57</xdr:row>
          <xdr:rowOff>9525</xdr:rowOff>
        </xdr:to>
        <xdr:sp macro="" textlink="">
          <xdr:nvSpPr>
            <xdr:cNvPr id="144509" name="Check Box 125" hidden="1">
              <a:extLst>
                <a:ext uri="{63B3BB69-23CF-44E3-9099-C40C66FF867C}">
                  <a14:compatExt spid="_x0000_s144509"/>
                </a:ext>
                <a:ext uri="{FF2B5EF4-FFF2-40B4-BE49-F238E27FC236}">
                  <a16:creationId xmlns:a16="http://schemas.microsoft.com/office/drawing/2014/main" id="{00000000-0008-0000-1300-00007D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180975</xdr:rowOff>
        </xdr:from>
        <xdr:to>
          <xdr:col>16</xdr:col>
          <xdr:colOff>38100</xdr:colOff>
          <xdr:row>56</xdr:row>
          <xdr:rowOff>9525</xdr:rowOff>
        </xdr:to>
        <xdr:sp macro="" textlink="">
          <xdr:nvSpPr>
            <xdr:cNvPr id="144510" name="Check Box 126" hidden="1">
              <a:extLst>
                <a:ext uri="{63B3BB69-23CF-44E3-9099-C40C66FF867C}">
                  <a14:compatExt spid="_x0000_s144510"/>
                </a:ext>
                <a:ext uri="{FF2B5EF4-FFF2-40B4-BE49-F238E27FC236}">
                  <a16:creationId xmlns:a16="http://schemas.microsoft.com/office/drawing/2014/main" id="{00000000-0008-0000-1300-00007E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53</xdr:row>
          <xdr:rowOff>180975</xdr:rowOff>
        </xdr:from>
        <xdr:to>
          <xdr:col>11</xdr:col>
          <xdr:colOff>38100</xdr:colOff>
          <xdr:row>55</xdr:row>
          <xdr:rowOff>9525</xdr:rowOff>
        </xdr:to>
        <xdr:sp macro="" textlink="">
          <xdr:nvSpPr>
            <xdr:cNvPr id="144511" name="Check Box 127" hidden="1">
              <a:extLst>
                <a:ext uri="{63B3BB69-23CF-44E3-9099-C40C66FF867C}">
                  <a14:compatExt spid="_x0000_s144511"/>
                </a:ext>
                <a:ext uri="{FF2B5EF4-FFF2-40B4-BE49-F238E27FC236}">
                  <a16:creationId xmlns:a16="http://schemas.microsoft.com/office/drawing/2014/main" id="{00000000-0008-0000-1300-00007F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55</xdr:row>
          <xdr:rowOff>180975</xdr:rowOff>
        </xdr:from>
        <xdr:to>
          <xdr:col>5</xdr:col>
          <xdr:colOff>38100</xdr:colOff>
          <xdr:row>57</xdr:row>
          <xdr:rowOff>9525</xdr:rowOff>
        </xdr:to>
        <xdr:sp macro="" textlink="">
          <xdr:nvSpPr>
            <xdr:cNvPr id="144512" name="Check Box 128" hidden="1">
              <a:extLst>
                <a:ext uri="{63B3BB69-23CF-44E3-9099-C40C66FF867C}">
                  <a14:compatExt spid="_x0000_s144512"/>
                </a:ext>
                <a:ext uri="{FF2B5EF4-FFF2-40B4-BE49-F238E27FC236}">
                  <a16:creationId xmlns:a16="http://schemas.microsoft.com/office/drawing/2014/main" id="{00000000-0008-0000-1300-000080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180975</xdr:rowOff>
        </xdr:from>
        <xdr:to>
          <xdr:col>16</xdr:col>
          <xdr:colOff>38100</xdr:colOff>
          <xdr:row>57</xdr:row>
          <xdr:rowOff>9525</xdr:rowOff>
        </xdr:to>
        <xdr:sp macro="" textlink="">
          <xdr:nvSpPr>
            <xdr:cNvPr id="144513" name="Check Box 129" hidden="1">
              <a:extLst>
                <a:ext uri="{63B3BB69-23CF-44E3-9099-C40C66FF867C}">
                  <a14:compatExt spid="_x0000_s144513"/>
                </a:ext>
                <a:ext uri="{FF2B5EF4-FFF2-40B4-BE49-F238E27FC236}">
                  <a16:creationId xmlns:a16="http://schemas.microsoft.com/office/drawing/2014/main" id="{00000000-0008-0000-1300-000081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54</xdr:row>
          <xdr:rowOff>180975</xdr:rowOff>
        </xdr:from>
        <xdr:to>
          <xdr:col>21</xdr:col>
          <xdr:colOff>38100</xdr:colOff>
          <xdr:row>56</xdr:row>
          <xdr:rowOff>9525</xdr:rowOff>
        </xdr:to>
        <xdr:sp macro="" textlink="">
          <xdr:nvSpPr>
            <xdr:cNvPr id="144514" name="Check Box 130" hidden="1">
              <a:extLst>
                <a:ext uri="{63B3BB69-23CF-44E3-9099-C40C66FF867C}">
                  <a14:compatExt spid="_x0000_s144514"/>
                </a:ext>
                <a:ext uri="{FF2B5EF4-FFF2-40B4-BE49-F238E27FC236}">
                  <a16:creationId xmlns:a16="http://schemas.microsoft.com/office/drawing/2014/main" id="{00000000-0008-0000-1300-000082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55</xdr:row>
          <xdr:rowOff>180975</xdr:rowOff>
        </xdr:from>
        <xdr:to>
          <xdr:col>21</xdr:col>
          <xdr:colOff>38100</xdr:colOff>
          <xdr:row>57</xdr:row>
          <xdr:rowOff>9525</xdr:rowOff>
        </xdr:to>
        <xdr:sp macro="" textlink="">
          <xdr:nvSpPr>
            <xdr:cNvPr id="144515" name="Check Box 131" hidden="1">
              <a:extLst>
                <a:ext uri="{63B3BB69-23CF-44E3-9099-C40C66FF867C}">
                  <a14:compatExt spid="_x0000_s144515"/>
                </a:ext>
                <a:ext uri="{FF2B5EF4-FFF2-40B4-BE49-F238E27FC236}">
                  <a16:creationId xmlns:a16="http://schemas.microsoft.com/office/drawing/2014/main" id="{00000000-0008-0000-1300-000083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55</xdr:row>
          <xdr:rowOff>180975</xdr:rowOff>
        </xdr:from>
        <xdr:to>
          <xdr:col>26</xdr:col>
          <xdr:colOff>38100</xdr:colOff>
          <xdr:row>57</xdr:row>
          <xdr:rowOff>9525</xdr:rowOff>
        </xdr:to>
        <xdr:sp macro="" textlink="">
          <xdr:nvSpPr>
            <xdr:cNvPr id="144516" name="Check Box 132" hidden="1">
              <a:extLst>
                <a:ext uri="{63B3BB69-23CF-44E3-9099-C40C66FF867C}">
                  <a14:compatExt spid="_x0000_s144516"/>
                </a:ext>
                <a:ext uri="{FF2B5EF4-FFF2-40B4-BE49-F238E27FC236}">
                  <a16:creationId xmlns:a16="http://schemas.microsoft.com/office/drawing/2014/main" id="{00000000-0008-0000-1300-000084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54</xdr:row>
          <xdr:rowOff>180975</xdr:rowOff>
        </xdr:from>
        <xdr:to>
          <xdr:col>26</xdr:col>
          <xdr:colOff>38100</xdr:colOff>
          <xdr:row>56</xdr:row>
          <xdr:rowOff>9525</xdr:rowOff>
        </xdr:to>
        <xdr:sp macro="" textlink="">
          <xdr:nvSpPr>
            <xdr:cNvPr id="144517" name="Check Box 133" hidden="1">
              <a:extLst>
                <a:ext uri="{63B3BB69-23CF-44E3-9099-C40C66FF867C}">
                  <a14:compatExt spid="_x0000_s144517"/>
                </a:ext>
                <a:ext uri="{FF2B5EF4-FFF2-40B4-BE49-F238E27FC236}">
                  <a16:creationId xmlns:a16="http://schemas.microsoft.com/office/drawing/2014/main" id="{00000000-0008-0000-1300-000085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144518" name="Check Box 134" hidden="1">
              <a:extLst>
                <a:ext uri="{63B3BB69-23CF-44E3-9099-C40C66FF867C}">
                  <a14:compatExt spid="_x0000_s144518"/>
                </a:ext>
                <a:ext uri="{FF2B5EF4-FFF2-40B4-BE49-F238E27FC236}">
                  <a16:creationId xmlns:a16="http://schemas.microsoft.com/office/drawing/2014/main" id="{00000000-0008-0000-1300-000086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144519" name="Check Box 135" hidden="1">
              <a:extLst>
                <a:ext uri="{63B3BB69-23CF-44E3-9099-C40C66FF867C}">
                  <a14:compatExt spid="_x0000_s144519"/>
                </a:ext>
                <a:ext uri="{FF2B5EF4-FFF2-40B4-BE49-F238E27FC236}">
                  <a16:creationId xmlns:a16="http://schemas.microsoft.com/office/drawing/2014/main" id="{00000000-0008-0000-1300-00008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144520" name="Check Box 136" hidden="1">
              <a:extLst>
                <a:ext uri="{63B3BB69-23CF-44E3-9099-C40C66FF867C}">
                  <a14:compatExt spid="_x0000_s144520"/>
                </a:ext>
                <a:ext uri="{FF2B5EF4-FFF2-40B4-BE49-F238E27FC236}">
                  <a16:creationId xmlns:a16="http://schemas.microsoft.com/office/drawing/2014/main" id="{00000000-0008-0000-1300-000088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144521" name="Check Box 137" hidden="1">
              <a:extLst>
                <a:ext uri="{63B3BB69-23CF-44E3-9099-C40C66FF867C}">
                  <a14:compatExt spid="_x0000_s144521"/>
                </a:ext>
                <a:ext uri="{FF2B5EF4-FFF2-40B4-BE49-F238E27FC236}">
                  <a16:creationId xmlns:a16="http://schemas.microsoft.com/office/drawing/2014/main" id="{00000000-0008-0000-1300-000089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144522" name="Check Box 138" hidden="1">
              <a:extLst>
                <a:ext uri="{63B3BB69-23CF-44E3-9099-C40C66FF867C}">
                  <a14:compatExt spid="_x0000_s144522"/>
                </a:ext>
                <a:ext uri="{FF2B5EF4-FFF2-40B4-BE49-F238E27FC236}">
                  <a16:creationId xmlns:a16="http://schemas.microsoft.com/office/drawing/2014/main" id="{00000000-0008-0000-1300-00008A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144523" name="Check Box 139" hidden="1">
              <a:extLst>
                <a:ext uri="{63B3BB69-23CF-44E3-9099-C40C66FF867C}">
                  <a14:compatExt spid="_x0000_s144523"/>
                </a:ext>
                <a:ext uri="{FF2B5EF4-FFF2-40B4-BE49-F238E27FC236}">
                  <a16:creationId xmlns:a16="http://schemas.microsoft.com/office/drawing/2014/main" id="{00000000-0008-0000-1300-00008B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00000000-0008-0000-1200-000002000000}"/>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50</xdr:row>
      <xdr:rowOff>171152</xdr:rowOff>
    </xdr:to>
    <xdr:sp macro="" textlink="">
      <xdr:nvSpPr>
        <xdr:cNvPr id="3" name="左中かっこ 2">
          <a:extLst>
            <a:ext uri="{FF2B5EF4-FFF2-40B4-BE49-F238E27FC236}">
              <a16:creationId xmlns:a16="http://schemas.microsoft.com/office/drawing/2014/main" id="{00000000-0008-0000-1200-000003000000}"/>
            </a:ext>
          </a:extLst>
        </xdr:cNvPr>
        <xdr:cNvSpPr/>
      </xdr:nvSpPr>
      <xdr:spPr>
        <a:xfrm>
          <a:off x="0" y="2991148"/>
          <a:ext cx="0" cy="64383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19" name="テキスト ボックス 111">
          <a:extLst>
            <a:ext uri="{FF2B5EF4-FFF2-40B4-BE49-F238E27FC236}">
              <a16:creationId xmlns:a16="http://schemas.microsoft.com/office/drawing/2014/main" id="{00000000-0008-0000-1200-000004000000}"/>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35</xdr:col>
      <xdr:colOff>9534</xdr:colOff>
      <xdr:row>25</xdr:row>
      <xdr:rowOff>66973</xdr:rowOff>
    </xdr:from>
    <xdr:to>
      <xdr:col>57</xdr:col>
      <xdr:colOff>28603</xdr:colOff>
      <xdr:row>33</xdr:row>
      <xdr:rowOff>95250</xdr:rowOff>
    </xdr:to>
    <xdr:sp macro="" textlink="">
      <xdr:nvSpPr>
        <xdr:cNvPr id="20" name="テキスト ボックス 111">
          <a:extLst>
            <a:ext uri="{FF2B5EF4-FFF2-40B4-BE49-F238E27FC236}">
              <a16:creationId xmlns:a16="http://schemas.microsoft.com/office/drawing/2014/main" id="{00000000-0008-0000-1200-00006C000000}"/>
            </a:ext>
          </a:extLst>
        </xdr:cNvPr>
        <xdr:cNvSpPr txBox="1"/>
      </xdr:nvSpPr>
      <xdr:spPr>
        <a:xfrm>
          <a:off x="7658100" y="4562474"/>
          <a:ext cx="5257800" cy="15525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145" name="右中かっこ 144">
          <a:extLst>
            <a:ext uri="{FF2B5EF4-FFF2-40B4-BE49-F238E27FC236}">
              <a16:creationId xmlns:a16="http://schemas.microsoft.com/office/drawing/2014/main" id="{00000000-0008-0000-1200-000091000000}"/>
            </a:ext>
          </a:extLst>
        </xdr:cNvPr>
        <xdr:cNvSpPr/>
      </xdr:nvSpPr>
      <xdr:spPr>
        <a:xfrm>
          <a:off x="3390900" y="1704975"/>
          <a:ext cx="76200" cy="247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35</xdr:col>
      <xdr:colOff>0</xdr:colOff>
      <xdr:row>60</xdr:row>
      <xdr:rowOff>0</xdr:rowOff>
    </xdr:from>
    <xdr:to>
      <xdr:col>57</xdr:col>
      <xdr:colOff>19069</xdr:colOff>
      <xdr:row>62</xdr:row>
      <xdr:rowOff>152549</xdr:rowOff>
    </xdr:to>
    <xdr:sp macro="" textlink="">
      <xdr:nvSpPr>
        <xdr:cNvPr id="21" name="テキスト ボックス 111">
          <a:extLst>
            <a:ext uri="{FF2B5EF4-FFF2-40B4-BE49-F238E27FC236}">
              <a16:creationId xmlns:a16="http://schemas.microsoft.com/office/drawing/2014/main" id="{00000000-0008-0000-1200-000092000000}"/>
            </a:ext>
          </a:extLst>
        </xdr:cNvPr>
        <xdr:cNvSpPr txBox="1"/>
      </xdr:nvSpPr>
      <xdr:spPr>
        <a:xfrm>
          <a:off x="7648575" y="11163301"/>
          <a:ext cx="5257800" cy="533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145409" name="Check_x0020_Box_x0020_1" hidden="1">
              <a:extLst>
                <a:ext uri="{63B3BB69-23CF-44E3-9099-C40C66FF867C}">
                  <a14:compatExt spid="_x0000_s145409"/>
                </a:ext>
                <a:ext uri="{FF2B5EF4-FFF2-40B4-BE49-F238E27FC236}">
                  <a16:creationId xmlns:a16="http://schemas.microsoft.com/office/drawing/2014/main" id="{00000000-0008-0000-1400-00000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145410" name="Check_x0020_Box_x0020_2" hidden="1">
              <a:extLst>
                <a:ext uri="{63B3BB69-23CF-44E3-9099-C40C66FF867C}">
                  <a14:compatExt spid="_x0000_s145410"/>
                </a:ext>
                <a:ext uri="{FF2B5EF4-FFF2-40B4-BE49-F238E27FC236}">
                  <a16:creationId xmlns:a16="http://schemas.microsoft.com/office/drawing/2014/main" id="{00000000-0008-0000-1400-00000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145411" name="Check_x0020_Box_x0020_3" hidden="1">
              <a:extLst>
                <a:ext uri="{63B3BB69-23CF-44E3-9099-C40C66FF867C}">
                  <a14:compatExt spid="_x0000_s145411"/>
                </a:ext>
                <a:ext uri="{FF2B5EF4-FFF2-40B4-BE49-F238E27FC236}">
                  <a16:creationId xmlns:a16="http://schemas.microsoft.com/office/drawing/2014/main" id="{00000000-0008-0000-1400-00000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145412" name="Check_x0020_Box_x0020_4" hidden="1">
              <a:extLst>
                <a:ext uri="{63B3BB69-23CF-44E3-9099-C40C66FF867C}">
                  <a14:compatExt spid="_x0000_s145412"/>
                </a:ext>
                <a:ext uri="{FF2B5EF4-FFF2-40B4-BE49-F238E27FC236}">
                  <a16:creationId xmlns:a16="http://schemas.microsoft.com/office/drawing/2014/main" id="{00000000-0008-0000-1400-00000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145413" name="Check_x0020_Box_x0020_5" hidden="1">
              <a:extLst>
                <a:ext uri="{63B3BB69-23CF-44E3-9099-C40C66FF867C}">
                  <a14:compatExt spid="_x0000_s145413"/>
                </a:ext>
                <a:ext uri="{FF2B5EF4-FFF2-40B4-BE49-F238E27FC236}">
                  <a16:creationId xmlns:a16="http://schemas.microsoft.com/office/drawing/2014/main" id="{00000000-0008-0000-1400-00000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145414" name="Check_x0020_Box_x0020_6" hidden="1">
              <a:extLst>
                <a:ext uri="{63B3BB69-23CF-44E3-9099-C40C66FF867C}">
                  <a14:compatExt spid="_x0000_s145414"/>
                </a:ext>
                <a:ext uri="{FF2B5EF4-FFF2-40B4-BE49-F238E27FC236}">
                  <a16:creationId xmlns:a16="http://schemas.microsoft.com/office/drawing/2014/main" id="{00000000-0008-0000-1400-00000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5" name="Check_x0020_Box_x0020_7" hidden="1">
              <a:extLst>
                <a:ext uri="{63B3BB69-23CF-44E3-9099-C40C66FF867C}">
                  <a14:compatExt spid="_x0000_s145415"/>
                </a:ext>
                <a:ext uri="{FF2B5EF4-FFF2-40B4-BE49-F238E27FC236}">
                  <a16:creationId xmlns:a16="http://schemas.microsoft.com/office/drawing/2014/main" id="{00000000-0008-0000-1400-00000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6" name="Check_x0020_Box_x0020_8" hidden="1">
              <a:extLst>
                <a:ext uri="{63B3BB69-23CF-44E3-9099-C40C66FF867C}">
                  <a14:compatExt spid="_x0000_s145416"/>
                </a:ext>
                <a:ext uri="{FF2B5EF4-FFF2-40B4-BE49-F238E27FC236}">
                  <a16:creationId xmlns:a16="http://schemas.microsoft.com/office/drawing/2014/main" id="{00000000-0008-0000-1400-00000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145417" name="Check_x0020_Box_x0020_9" hidden="1">
              <a:extLst>
                <a:ext uri="{63B3BB69-23CF-44E3-9099-C40C66FF867C}">
                  <a14:compatExt spid="_x0000_s145417"/>
                </a:ext>
                <a:ext uri="{FF2B5EF4-FFF2-40B4-BE49-F238E27FC236}">
                  <a16:creationId xmlns:a16="http://schemas.microsoft.com/office/drawing/2014/main" id="{00000000-0008-0000-1400-00000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145418" name="Check_x0020_Box_x0020_10" hidden="1">
              <a:extLst>
                <a:ext uri="{63B3BB69-23CF-44E3-9099-C40C66FF867C}">
                  <a14:compatExt spid="_x0000_s145418"/>
                </a:ext>
                <a:ext uri="{FF2B5EF4-FFF2-40B4-BE49-F238E27FC236}">
                  <a16:creationId xmlns:a16="http://schemas.microsoft.com/office/drawing/2014/main" id="{00000000-0008-0000-1400-00000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180975</xdr:rowOff>
        </xdr:from>
        <xdr:to>
          <xdr:col>31</xdr:col>
          <xdr:colOff>66675</xdr:colOff>
          <xdr:row>45</xdr:row>
          <xdr:rowOff>9525</xdr:rowOff>
        </xdr:to>
        <xdr:sp macro="" textlink="">
          <xdr:nvSpPr>
            <xdr:cNvPr id="145419" name="Check_x0020_Box_x0020_11" hidden="1">
              <a:extLst>
                <a:ext uri="{63B3BB69-23CF-44E3-9099-C40C66FF867C}">
                  <a14:compatExt spid="_x0000_s145419"/>
                </a:ext>
                <a:ext uri="{FF2B5EF4-FFF2-40B4-BE49-F238E27FC236}">
                  <a16:creationId xmlns:a16="http://schemas.microsoft.com/office/drawing/2014/main" id="{00000000-0008-0000-1400-00000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44</xdr:row>
          <xdr:rowOff>180975</xdr:rowOff>
        </xdr:from>
        <xdr:to>
          <xdr:col>31</xdr:col>
          <xdr:colOff>66675</xdr:colOff>
          <xdr:row>46</xdr:row>
          <xdr:rowOff>9525</xdr:rowOff>
        </xdr:to>
        <xdr:sp macro="" textlink="">
          <xdr:nvSpPr>
            <xdr:cNvPr id="145420" name="Check_x0020_Box_x0020_12" hidden="1">
              <a:extLst>
                <a:ext uri="{63B3BB69-23CF-44E3-9099-C40C66FF867C}">
                  <a14:compatExt spid="_x0000_s145420"/>
                </a:ext>
                <a:ext uri="{FF2B5EF4-FFF2-40B4-BE49-F238E27FC236}">
                  <a16:creationId xmlns:a16="http://schemas.microsoft.com/office/drawing/2014/main" id="{00000000-0008-0000-1400-00000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145421" name="Check_x0020_Box_x0020_13" hidden="1">
              <a:extLst>
                <a:ext uri="{63B3BB69-23CF-44E3-9099-C40C66FF867C}">
                  <a14:compatExt spid="_x0000_s145421"/>
                </a:ext>
                <a:ext uri="{FF2B5EF4-FFF2-40B4-BE49-F238E27FC236}">
                  <a16:creationId xmlns:a16="http://schemas.microsoft.com/office/drawing/2014/main" id="{00000000-0008-0000-1400-00000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145422" name="Check_x0020_Box_x0020_14" hidden="1">
              <a:extLst>
                <a:ext uri="{63B3BB69-23CF-44E3-9099-C40C66FF867C}">
                  <a14:compatExt spid="_x0000_s145422"/>
                </a:ext>
                <a:ext uri="{FF2B5EF4-FFF2-40B4-BE49-F238E27FC236}">
                  <a16:creationId xmlns:a16="http://schemas.microsoft.com/office/drawing/2014/main" id="{00000000-0008-0000-1400-00000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145423" name="Check_x0020_Box_x0020_15" hidden="1">
              <a:extLst>
                <a:ext uri="{63B3BB69-23CF-44E3-9099-C40C66FF867C}">
                  <a14:compatExt spid="_x0000_s145423"/>
                </a:ext>
                <a:ext uri="{FF2B5EF4-FFF2-40B4-BE49-F238E27FC236}">
                  <a16:creationId xmlns:a16="http://schemas.microsoft.com/office/drawing/2014/main" id="{00000000-0008-0000-1400-00000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145424" name="Check_x0020_Box_x0020_16" hidden="1">
              <a:extLst>
                <a:ext uri="{63B3BB69-23CF-44E3-9099-C40C66FF867C}">
                  <a14:compatExt spid="_x0000_s145424"/>
                </a:ext>
                <a:ext uri="{FF2B5EF4-FFF2-40B4-BE49-F238E27FC236}">
                  <a16:creationId xmlns:a16="http://schemas.microsoft.com/office/drawing/2014/main" id="{00000000-0008-0000-1400-00001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145425" name="Check_x0020_Box_x0020_17" hidden="1">
              <a:extLst>
                <a:ext uri="{63B3BB69-23CF-44E3-9099-C40C66FF867C}">
                  <a14:compatExt spid="_x0000_s145425"/>
                </a:ext>
                <a:ext uri="{FF2B5EF4-FFF2-40B4-BE49-F238E27FC236}">
                  <a16:creationId xmlns:a16="http://schemas.microsoft.com/office/drawing/2014/main" id="{00000000-0008-0000-1400-00001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145426" name="Check_x0020_Box_x0020_18" hidden="1">
              <a:extLst>
                <a:ext uri="{63B3BB69-23CF-44E3-9099-C40C66FF867C}">
                  <a14:compatExt spid="_x0000_s145426"/>
                </a:ext>
                <a:ext uri="{FF2B5EF4-FFF2-40B4-BE49-F238E27FC236}">
                  <a16:creationId xmlns:a16="http://schemas.microsoft.com/office/drawing/2014/main" id="{00000000-0008-0000-1400-00001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145427" name="Check_x0020_Box_x0020_19" hidden="1">
              <a:extLst>
                <a:ext uri="{63B3BB69-23CF-44E3-9099-C40C66FF867C}">
                  <a14:compatExt spid="_x0000_s145427"/>
                </a:ext>
                <a:ext uri="{FF2B5EF4-FFF2-40B4-BE49-F238E27FC236}">
                  <a16:creationId xmlns:a16="http://schemas.microsoft.com/office/drawing/2014/main" id="{00000000-0008-0000-1400-00001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145428" name="Check_x0020_Box_x0020_20" hidden="1">
              <a:extLst>
                <a:ext uri="{63B3BB69-23CF-44E3-9099-C40C66FF867C}">
                  <a14:compatExt spid="_x0000_s145428"/>
                </a:ext>
                <a:ext uri="{FF2B5EF4-FFF2-40B4-BE49-F238E27FC236}">
                  <a16:creationId xmlns:a16="http://schemas.microsoft.com/office/drawing/2014/main" id="{00000000-0008-0000-1400-00001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145429" name="Check_x0020_Box_x0020_21" hidden="1">
              <a:extLst>
                <a:ext uri="{63B3BB69-23CF-44E3-9099-C40C66FF867C}">
                  <a14:compatExt spid="_x0000_s145429"/>
                </a:ext>
                <a:ext uri="{FF2B5EF4-FFF2-40B4-BE49-F238E27FC236}">
                  <a16:creationId xmlns:a16="http://schemas.microsoft.com/office/drawing/2014/main" id="{00000000-0008-0000-1400-00001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145430" name="Check_x0020_Box_x0020_22" hidden="1">
              <a:extLst>
                <a:ext uri="{63B3BB69-23CF-44E3-9099-C40C66FF867C}">
                  <a14:compatExt spid="_x0000_s145430"/>
                </a:ext>
                <a:ext uri="{FF2B5EF4-FFF2-40B4-BE49-F238E27FC236}">
                  <a16:creationId xmlns:a16="http://schemas.microsoft.com/office/drawing/2014/main" id="{00000000-0008-0000-1400-00001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145431" name="Check_x0020_Box_x0020_23" hidden="1">
              <a:extLst>
                <a:ext uri="{63B3BB69-23CF-44E3-9099-C40C66FF867C}">
                  <a14:compatExt spid="_x0000_s145431"/>
                </a:ext>
                <a:ext uri="{FF2B5EF4-FFF2-40B4-BE49-F238E27FC236}">
                  <a16:creationId xmlns:a16="http://schemas.microsoft.com/office/drawing/2014/main" id="{00000000-0008-0000-1400-00001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145432" name="Check_x0020_Box_x0020_24" hidden="1">
              <a:extLst>
                <a:ext uri="{63B3BB69-23CF-44E3-9099-C40C66FF867C}">
                  <a14:compatExt spid="_x0000_s145432"/>
                </a:ext>
                <a:ext uri="{FF2B5EF4-FFF2-40B4-BE49-F238E27FC236}">
                  <a16:creationId xmlns:a16="http://schemas.microsoft.com/office/drawing/2014/main" id="{00000000-0008-0000-1400-00001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145433" name="Check_x0020_Box_x0020_25" hidden="1">
              <a:extLst>
                <a:ext uri="{63B3BB69-23CF-44E3-9099-C40C66FF867C}">
                  <a14:compatExt spid="_x0000_s145433"/>
                </a:ext>
                <a:ext uri="{FF2B5EF4-FFF2-40B4-BE49-F238E27FC236}">
                  <a16:creationId xmlns:a16="http://schemas.microsoft.com/office/drawing/2014/main" id="{00000000-0008-0000-1400-00001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145434" name="Check_x0020_Box_x0020_26" hidden="1">
              <a:extLst>
                <a:ext uri="{63B3BB69-23CF-44E3-9099-C40C66FF867C}">
                  <a14:compatExt spid="_x0000_s145434"/>
                </a:ext>
                <a:ext uri="{FF2B5EF4-FFF2-40B4-BE49-F238E27FC236}">
                  <a16:creationId xmlns:a16="http://schemas.microsoft.com/office/drawing/2014/main" id="{00000000-0008-0000-1400-00001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145435" name="Check_x0020_Box_x0020_27" hidden="1">
              <a:extLst>
                <a:ext uri="{63B3BB69-23CF-44E3-9099-C40C66FF867C}">
                  <a14:compatExt spid="_x0000_s145435"/>
                </a:ext>
                <a:ext uri="{FF2B5EF4-FFF2-40B4-BE49-F238E27FC236}">
                  <a16:creationId xmlns:a16="http://schemas.microsoft.com/office/drawing/2014/main" id="{00000000-0008-0000-1400-00001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145436" name="Check_x0020_Box_x0020_28" hidden="1">
              <a:extLst>
                <a:ext uri="{63B3BB69-23CF-44E3-9099-C40C66FF867C}">
                  <a14:compatExt spid="_x0000_s145436"/>
                </a:ext>
                <a:ext uri="{FF2B5EF4-FFF2-40B4-BE49-F238E27FC236}">
                  <a16:creationId xmlns:a16="http://schemas.microsoft.com/office/drawing/2014/main" id="{00000000-0008-0000-1400-00001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145437" name="Check_x0020_Box_x0020_29" hidden="1">
              <a:extLst>
                <a:ext uri="{63B3BB69-23CF-44E3-9099-C40C66FF867C}">
                  <a14:compatExt spid="_x0000_s145437"/>
                </a:ext>
                <a:ext uri="{FF2B5EF4-FFF2-40B4-BE49-F238E27FC236}">
                  <a16:creationId xmlns:a16="http://schemas.microsoft.com/office/drawing/2014/main" id="{00000000-0008-0000-1400-00001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145438" name="Check_x0020_Box_x0020_30" hidden="1">
              <a:extLst>
                <a:ext uri="{63B3BB69-23CF-44E3-9099-C40C66FF867C}">
                  <a14:compatExt spid="_x0000_s145438"/>
                </a:ext>
                <a:ext uri="{FF2B5EF4-FFF2-40B4-BE49-F238E27FC236}">
                  <a16:creationId xmlns:a16="http://schemas.microsoft.com/office/drawing/2014/main" id="{00000000-0008-0000-1400-00001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145439" name="Check_x0020_Box_x0020_31" hidden="1">
              <a:extLst>
                <a:ext uri="{63B3BB69-23CF-44E3-9099-C40C66FF867C}">
                  <a14:compatExt spid="_x0000_s145439"/>
                </a:ext>
                <a:ext uri="{FF2B5EF4-FFF2-40B4-BE49-F238E27FC236}">
                  <a16:creationId xmlns:a16="http://schemas.microsoft.com/office/drawing/2014/main" id="{00000000-0008-0000-1400-00001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145440" name="Check_x0020_Box_x0020_32" hidden="1">
              <a:extLst>
                <a:ext uri="{63B3BB69-23CF-44E3-9099-C40C66FF867C}">
                  <a14:compatExt spid="_x0000_s145440"/>
                </a:ext>
                <a:ext uri="{FF2B5EF4-FFF2-40B4-BE49-F238E27FC236}">
                  <a16:creationId xmlns:a16="http://schemas.microsoft.com/office/drawing/2014/main" id="{00000000-0008-0000-1400-00002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145441" name="Check_x0020_Box_x0020_33" hidden="1">
              <a:extLst>
                <a:ext uri="{63B3BB69-23CF-44E3-9099-C40C66FF867C}">
                  <a14:compatExt spid="_x0000_s145441"/>
                </a:ext>
                <a:ext uri="{FF2B5EF4-FFF2-40B4-BE49-F238E27FC236}">
                  <a16:creationId xmlns:a16="http://schemas.microsoft.com/office/drawing/2014/main" id="{00000000-0008-0000-1400-00002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145442" name="Check_x0020_Box_x0020_34" hidden="1">
              <a:extLst>
                <a:ext uri="{63B3BB69-23CF-44E3-9099-C40C66FF867C}">
                  <a14:compatExt spid="_x0000_s145442"/>
                </a:ext>
                <a:ext uri="{FF2B5EF4-FFF2-40B4-BE49-F238E27FC236}">
                  <a16:creationId xmlns:a16="http://schemas.microsoft.com/office/drawing/2014/main" id="{00000000-0008-0000-1400-00002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145443" name="Check_x0020_Box_x0020_38" hidden="1">
              <a:extLst>
                <a:ext uri="{63B3BB69-23CF-44E3-9099-C40C66FF867C}">
                  <a14:compatExt spid="_x0000_s145443"/>
                </a:ext>
                <a:ext uri="{FF2B5EF4-FFF2-40B4-BE49-F238E27FC236}">
                  <a16:creationId xmlns:a16="http://schemas.microsoft.com/office/drawing/2014/main" id="{00000000-0008-0000-1400-00002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145444" name="Check_x0020_Box_x0020_39" hidden="1">
              <a:extLst>
                <a:ext uri="{63B3BB69-23CF-44E3-9099-C40C66FF867C}">
                  <a14:compatExt spid="_x0000_s145444"/>
                </a:ext>
                <a:ext uri="{FF2B5EF4-FFF2-40B4-BE49-F238E27FC236}">
                  <a16:creationId xmlns:a16="http://schemas.microsoft.com/office/drawing/2014/main" id="{00000000-0008-0000-1400-00002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145445" name="Check_x0020_Box_x0020_40" hidden="1">
              <a:extLst>
                <a:ext uri="{63B3BB69-23CF-44E3-9099-C40C66FF867C}">
                  <a14:compatExt spid="_x0000_s145445"/>
                </a:ext>
                <a:ext uri="{FF2B5EF4-FFF2-40B4-BE49-F238E27FC236}">
                  <a16:creationId xmlns:a16="http://schemas.microsoft.com/office/drawing/2014/main" id="{00000000-0008-0000-1400-00002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145446" name="Check_x0020_Box_x0020_41" hidden="1">
              <a:extLst>
                <a:ext uri="{63B3BB69-23CF-44E3-9099-C40C66FF867C}">
                  <a14:compatExt spid="_x0000_s145446"/>
                </a:ext>
                <a:ext uri="{FF2B5EF4-FFF2-40B4-BE49-F238E27FC236}">
                  <a16:creationId xmlns:a16="http://schemas.microsoft.com/office/drawing/2014/main" id="{00000000-0008-0000-1400-00002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145447" name="Check_x0020_Box_x0020_42" hidden="1">
              <a:extLst>
                <a:ext uri="{63B3BB69-23CF-44E3-9099-C40C66FF867C}">
                  <a14:compatExt spid="_x0000_s145447"/>
                </a:ext>
                <a:ext uri="{FF2B5EF4-FFF2-40B4-BE49-F238E27FC236}">
                  <a16:creationId xmlns:a16="http://schemas.microsoft.com/office/drawing/2014/main" id="{00000000-0008-0000-1400-00002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145448" name="Check_x0020_Box_x0020_43" hidden="1">
              <a:extLst>
                <a:ext uri="{63B3BB69-23CF-44E3-9099-C40C66FF867C}">
                  <a14:compatExt spid="_x0000_s145448"/>
                </a:ext>
                <a:ext uri="{FF2B5EF4-FFF2-40B4-BE49-F238E27FC236}">
                  <a16:creationId xmlns:a16="http://schemas.microsoft.com/office/drawing/2014/main" id="{00000000-0008-0000-1400-00002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145449" name="Check_x0020_Box_x0020_44" hidden="1">
              <a:extLst>
                <a:ext uri="{63B3BB69-23CF-44E3-9099-C40C66FF867C}">
                  <a14:compatExt spid="_x0000_s145449"/>
                </a:ext>
                <a:ext uri="{FF2B5EF4-FFF2-40B4-BE49-F238E27FC236}">
                  <a16:creationId xmlns:a16="http://schemas.microsoft.com/office/drawing/2014/main" id="{00000000-0008-0000-1400-00002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145450" name="Check_x0020_Box_x0020_45" hidden="1">
              <a:extLst>
                <a:ext uri="{63B3BB69-23CF-44E3-9099-C40C66FF867C}">
                  <a14:compatExt spid="_x0000_s145450"/>
                </a:ext>
                <a:ext uri="{FF2B5EF4-FFF2-40B4-BE49-F238E27FC236}">
                  <a16:creationId xmlns:a16="http://schemas.microsoft.com/office/drawing/2014/main" id="{00000000-0008-0000-1400-00002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145451" name="Check_x0020_Box_x0020_46" hidden="1">
              <a:extLst>
                <a:ext uri="{63B3BB69-23CF-44E3-9099-C40C66FF867C}">
                  <a14:compatExt spid="_x0000_s145451"/>
                </a:ext>
                <a:ext uri="{FF2B5EF4-FFF2-40B4-BE49-F238E27FC236}">
                  <a16:creationId xmlns:a16="http://schemas.microsoft.com/office/drawing/2014/main" id="{00000000-0008-0000-1400-00002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145452" name="Check_x0020_Box_x0020_47" hidden="1">
              <a:extLst>
                <a:ext uri="{63B3BB69-23CF-44E3-9099-C40C66FF867C}">
                  <a14:compatExt spid="_x0000_s145452"/>
                </a:ext>
                <a:ext uri="{FF2B5EF4-FFF2-40B4-BE49-F238E27FC236}">
                  <a16:creationId xmlns:a16="http://schemas.microsoft.com/office/drawing/2014/main" id="{00000000-0008-0000-1400-00002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145453" name="Check_x0020_Box_x0020_48" hidden="1">
              <a:extLst>
                <a:ext uri="{63B3BB69-23CF-44E3-9099-C40C66FF867C}">
                  <a14:compatExt spid="_x0000_s145453"/>
                </a:ext>
                <a:ext uri="{FF2B5EF4-FFF2-40B4-BE49-F238E27FC236}">
                  <a16:creationId xmlns:a16="http://schemas.microsoft.com/office/drawing/2014/main" id="{00000000-0008-0000-1400-00002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145454" name="Check_x0020_Box_x0020_49" hidden="1">
              <a:extLst>
                <a:ext uri="{63B3BB69-23CF-44E3-9099-C40C66FF867C}">
                  <a14:compatExt spid="_x0000_s145454"/>
                </a:ext>
                <a:ext uri="{FF2B5EF4-FFF2-40B4-BE49-F238E27FC236}">
                  <a16:creationId xmlns:a16="http://schemas.microsoft.com/office/drawing/2014/main" id="{00000000-0008-0000-1400-00002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145455" name="Check_x0020_Box_x0020_50" hidden="1">
              <a:extLst>
                <a:ext uri="{63B3BB69-23CF-44E3-9099-C40C66FF867C}">
                  <a14:compatExt spid="_x0000_s145455"/>
                </a:ext>
                <a:ext uri="{FF2B5EF4-FFF2-40B4-BE49-F238E27FC236}">
                  <a16:creationId xmlns:a16="http://schemas.microsoft.com/office/drawing/2014/main" id="{00000000-0008-0000-1400-00002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145456" name="Check_x0020_Box_x0020_51" hidden="1">
              <a:extLst>
                <a:ext uri="{63B3BB69-23CF-44E3-9099-C40C66FF867C}">
                  <a14:compatExt spid="_x0000_s145456"/>
                </a:ext>
                <a:ext uri="{FF2B5EF4-FFF2-40B4-BE49-F238E27FC236}">
                  <a16:creationId xmlns:a16="http://schemas.microsoft.com/office/drawing/2014/main" id="{00000000-0008-0000-1400-00003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145457" name="Check_x0020_Box_x0020_52" hidden="1">
              <a:extLst>
                <a:ext uri="{63B3BB69-23CF-44E3-9099-C40C66FF867C}">
                  <a14:compatExt spid="_x0000_s145457"/>
                </a:ext>
                <a:ext uri="{FF2B5EF4-FFF2-40B4-BE49-F238E27FC236}">
                  <a16:creationId xmlns:a16="http://schemas.microsoft.com/office/drawing/2014/main" id="{00000000-0008-0000-1400-00003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145458" name="Check_x0020_Box_x0020_53" hidden="1">
              <a:extLst>
                <a:ext uri="{63B3BB69-23CF-44E3-9099-C40C66FF867C}">
                  <a14:compatExt spid="_x0000_s145458"/>
                </a:ext>
                <a:ext uri="{FF2B5EF4-FFF2-40B4-BE49-F238E27FC236}">
                  <a16:creationId xmlns:a16="http://schemas.microsoft.com/office/drawing/2014/main" id="{00000000-0008-0000-1400-00003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145459" name="Check_x0020_Box_x0020_54" hidden="1">
              <a:extLst>
                <a:ext uri="{63B3BB69-23CF-44E3-9099-C40C66FF867C}">
                  <a14:compatExt spid="_x0000_s145459"/>
                </a:ext>
                <a:ext uri="{FF2B5EF4-FFF2-40B4-BE49-F238E27FC236}">
                  <a16:creationId xmlns:a16="http://schemas.microsoft.com/office/drawing/2014/main" id="{00000000-0008-0000-1400-00003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145460" name="Check_x0020_Box_x0020_55" hidden="1">
              <a:extLst>
                <a:ext uri="{63B3BB69-23CF-44E3-9099-C40C66FF867C}">
                  <a14:compatExt spid="_x0000_s145460"/>
                </a:ext>
                <a:ext uri="{FF2B5EF4-FFF2-40B4-BE49-F238E27FC236}">
                  <a16:creationId xmlns:a16="http://schemas.microsoft.com/office/drawing/2014/main" id="{00000000-0008-0000-1400-00003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145461" name="Check_x0020_Box_x0020_56" hidden="1">
              <a:extLst>
                <a:ext uri="{63B3BB69-23CF-44E3-9099-C40C66FF867C}">
                  <a14:compatExt spid="_x0000_s145461"/>
                </a:ext>
                <a:ext uri="{FF2B5EF4-FFF2-40B4-BE49-F238E27FC236}">
                  <a16:creationId xmlns:a16="http://schemas.microsoft.com/office/drawing/2014/main" id="{00000000-0008-0000-1400-00003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145462" name="Check_x0020_Box_x0020_57" hidden="1">
              <a:extLst>
                <a:ext uri="{63B3BB69-23CF-44E3-9099-C40C66FF867C}">
                  <a14:compatExt spid="_x0000_s145462"/>
                </a:ext>
                <a:ext uri="{FF2B5EF4-FFF2-40B4-BE49-F238E27FC236}">
                  <a16:creationId xmlns:a16="http://schemas.microsoft.com/office/drawing/2014/main" id="{00000000-0008-0000-1400-00003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145463" name="Check_x0020_Box_x0020_58" hidden="1">
              <a:extLst>
                <a:ext uri="{63B3BB69-23CF-44E3-9099-C40C66FF867C}">
                  <a14:compatExt spid="_x0000_s145463"/>
                </a:ext>
                <a:ext uri="{FF2B5EF4-FFF2-40B4-BE49-F238E27FC236}">
                  <a16:creationId xmlns:a16="http://schemas.microsoft.com/office/drawing/2014/main" id="{00000000-0008-0000-1400-00003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145464" name="Check_x0020_Box_x0020_59" hidden="1">
              <a:extLst>
                <a:ext uri="{63B3BB69-23CF-44E3-9099-C40C66FF867C}">
                  <a14:compatExt spid="_x0000_s145464"/>
                </a:ext>
                <a:ext uri="{FF2B5EF4-FFF2-40B4-BE49-F238E27FC236}">
                  <a16:creationId xmlns:a16="http://schemas.microsoft.com/office/drawing/2014/main" id="{00000000-0008-0000-1400-00003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145465" name="Check_x0020_Box_x0020_60" hidden="1">
              <a:extLst>
                <a:ext uri="{63B3BB69-23CF-44E3-9099-C40C66FF867C}">
                  <a14:compatExt spid="_x0000_s145465"/>
                </a:ext>
                <a:ext uri="{FF2B5EF4-FFF2-40B4-BE49-F238E27FC236}">
                  <a16:creationId xmlns:a16="http://schemas.microsoft.com/office/drawing/2014/main" id="{00000000-0008-0000-1400-00003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145466" name="Check_x0020_Box_x0020_61" hidden="1">
              <a:extLst>
                <a:ext uri="{63B3BB69-23CF-44E3-9099-C40C66FF867C}">
                  <a14:compatExt spid="_x0000_s145466"/>
                </a:ext>
                <a:ext uri="{FF2B5EF4-FFF2-40B4-BE49-F238E27FC236}">
                  <a16:creationId xmlns:a16="http://schemas.microsoft.com/office/drawing/2014/main" id="{00000000-0008-0000-1400-00003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23</xdr:row>
          <xdr:rowOff>180975</xdr:rowOff>
        </xdr:from>
        <xdr:to>
          <xdr:col>12</xdr:col>
          <xdr:colOff>38100</xdr:colOff>
          <xdr:row>25</xdr:row>
          <xdr:rowOff>9525</xdr:rowOff>
        </xdr:to>
        <xdr:sp macro="" textlink="">
          <xdr:nvSpPr>
            <xdr:cNvPr id="145467" name="Check_x0020_Box_x0020_62" hidden="1">
              <a:extLst>
                <a:ext uri="{63B3BB69-23CF-44E3-9099-C40C66FF867C}">
                  <a14:compatExt spid="_x0000_s145467"/>
                </a:ext>
                <a:ext uri="{FF2B5EF4-FFF2-40B4-BE49-F238E27FC236}">
                  <a16:creationId xmlns:a16="http://schemas.microsoft.com/office/drawing/2014/main" id="{00000000-0008-0000-1400-00003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145468" name="Check_x0020_Box_x0020_63" hidden="1">
              <a:extLst>
                <a:ext uri="{63B3BB69-23CF-44E3-9099-C40C66FF867C}">
                  <a14:compatExt spid="_x0000_s145468"/>
                </a:ext>
                <a:ext uri="{FF2B5EF4-FFF2-40B4-BE49-F238E27FC236}">
                  <a16:creationId xmlns:a16="http://schemas.microsoft.com/office/drawing/2014/main" id="{00000000-0008-0000-1400-00003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180975</xdr:rowOff>
        </xdr:from>
        <xdr:to>
          <xdr:col>16</xdr:col>
          <xdr:colOff>38100</xdr:colOff>
          <xdr:row>45</xdr:row>
          <xdr:rowOff>9525</xdr:rowOff>
        </xdr:to>
        <xdr:sp macro="" textlink="">
          <xdr:nvSpPr>
            <xdr:cNvPr id="145469" name="Check_x0020_Box_x0020_64" hidden="1">
              <a:extLst>
                <a:ext uri="{63B3BB69-23CF-44E3-9099-C40C66FF867C}">
                  <a14:compatExt spid="_x0000_s145469"/>
                </a:ext>
                <a:ext uri="{FF2B5EF4-FFF2-40B4-BE49-F238E27FC236}">
                  <a16:creationId xmlns:a16="http://schemas.microsoft.com/office/drawing/2014/main" id="{00000000-0008-0000-1400-00003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43</xdr:row>
          <xdr:rowOff>180975</xdr:rowOff>
        </xdr:from>
        <xdr:to>
          <xdr:col>19</xdr:col>
          <xdr:colOff>38100</xdr:colOff>
          <xdr:row>45</xdr:row>
          <xdr:rowOff>9525</xdr:rowOff>
        </xdr:to>
        <xdr:sp macro="" textlink="">
          <xdr:nvSpPr>
            <xdr:cNvPr id="145470" name="Check_x0020_Box_x0020_65" hidden="1">
              <a:extLst>
                <a:ext uri="{63B3BB69-23CF-44E3-9099-C40C66FF867C}">
                  <a14:compatExt spid="_x0000_s145470"/>
                </a:ext>
                <a:ext uri="{FF2B5EF4-FFF2-40B4-BE49-F238E27FC236}">
                  <a16:creationId xmlns:a16="http://schemas.microsoft.com/office/drawing/2014/main" id="{00000000-0008-0000-1400-00003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43</xdr:row>
          <xdr:rowOff>180975</xdr:rowOff>
        </xdr:from>
        <xdr:to>
          <xdr:col>23</xdr:col>
          <xdr:colOff>38100</xdr:colOff>
          <xdr:row>45</xdr:row>
          <xdr:rowOff>9525</xdr:rowOff>
        </xdr:to>
        <xdr:sp macro="" textlink="">
          <xdr:nvSpPr>
            <xdr:cNvPr id="145471" name="Check_x0020_Box_x0020_66" hidden="1">
              <a:extLst>
                <a:ext uri="{63B3BB69-23CF-44E3-9099-C40C66FF867C}">
                  <a14:compatExt spid="_x0000_s145471"/>
                </a:ext>
                <a:ext uri="{FF2B5EF4-FFF2-40B4-BE49-F238E27FC236}">
                  <a16:creationId xmlns:a16="http://schemas.microsoft.com/office/drawing/2014/main" id="{00000000-0008-0000-1400-00003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43</xdr:row>
          <xdr:rowOff>180975</xdr:rowOff>
        </xdr:from>
        <xdr:to>
          <xdr:col>12</xdr:col>
          <xdr:colOff>38100</xdr:colOff>
          <xdr:row>45</xdr:row>
          <xdr:rowOff>9525</xdr:rowOff>
        </xdr:to>
        <xdr:sp macro="" textlink="">
          <xdr:nvSpPr>
            <xdr:cNvPr id="145472" name="Check_x0020_Box_x0020_67" hidden="1">
              <a:extLst>
                <a:ext uri="{63B3BB69-23CF-44E3-9099-C40C66FF867C}">
                  <a14:compatExt spid="_x0000_s145472"/>
                </a:ext>
                <a:ext uri="{FF2B5EF4-FFF2-40B4-BE49-F238E27FC236}">
                  <a16:creationId xmlns:a16="http://schemas.microsoft.com/office/drawing/2014/main" id="{00000000-0008-0000-1400-00004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44</xdr:row>
          <xdr:rowOff>180975</xdr:rowOff>
        </xdr:from>
        <xdr:to>
          <xdr:col>12</xdr:col>
          <xdr:colOff>38100</xdr:colOff>
          <xdr:row>46</xdr:row>
          <xdr:rowOff>9525</xdr:rowOff>
        </xdr:to>
        <xdr:sp macro="" textlink="">
          <xdr:nvSpPr>
            <xdr:cNvPr id="145473" name="Check_x0020_Box_x0020_68" hidden="1">
              <a:extLst>
                <a:ext uri="{63B3BB69-23CF-44E3-9099-C40C66FF867C}">
                  <a14:compatExt spid="_x0000_s145473"/>
                </a:ext>
                <a:ext uri="{FF2B5EF4-FFF2-40B4-BE49-F238E27FC236}">
                  <a16:creationId xmlns:a16="http://schemas.microsoft.com/office/drawing/2014/main" id="{00000000-0008-0000-1400-00004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44</xdr:row>
          <xdr:rowOff>180975</xdr:rowOff>
        </xdr:from>
        <xdr:to>
          <xdr:col>21</xdr:col>
          <xdr:colOff>38100</xdr:colOff>
          <xdr:row>46</xdr:row>
          <xdr:rowOff>9525</xdr:rowOff>
        </xdr:to>
        <xdr:sp macro="" textlink="">
          <xdr:nvSpPr>
            <xdr:cNvPr id="145474" name="Check_x0020_Box_x0020_69" hidden="1">
              <a:extLst>
                <a:ext uri="{63B3BB69-23CF-44E3-9099-C40C66FF867C}">
                  <a14:compatExt spid="_x0000_s145474"/>
                </a:ext>
                <a:ext uri="{FF2B5EF4-FFF2-40B4-BE49-F238E27FC236}">
                  <a16:creationId xmlns:a16="http://schemas.microsoft.com/office/drawing/2014/main" id="{00000000-0008-0000-1400-00004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145475" name="Check_x0020_Box_x0020_70" hidden="1">
              <a:extLst>
                <a:ext uri="{63B3BB69-23CF-44E3-9099-C40C66FF867C}">
                  <a14:compatExt spid="_x0000_s145475"/>
                </a:ext>
                <a:ext uri="{FF2B5EF4-FFF2-40B4-BE49-F238E27FC236}">
                  <a16:creationId xmlns:a16="http://schemas.microsoft.com/office/drawing/2014/main" id="{00000000-0008-0000-1400-00004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145476" name="Check_x0020_Box_x0020_71" hidden="1">
              <a:extLst>
                <a:ext uri="{63B3BB69-23CF-44E3-9099-C40C66FF867C}">
                  <a14:compatExt spid="_x0000_s145476"/>
                </a:ext>
                <a:ext uri="{FF2B5EF4-FFF2-40B4-BE49-F238E27FC236}">
                  <a16:creationId xmlns:a16="http://schemas.microsoft.com/office/drawing/2014/main" id="{00000000-0008-0000-1400-00004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145477" name="Check_x0020_Box_x0020_72" hidden="1">
              <a:extLst>
                <a:ext uri="{63B3BB69-23CF-44E3-9099-C40C66FF867C}">
                  <a14:compatExt spid="_x0000_s145477"/>
                </a:ext>
                <a:ext uri="{FF2B5EF4-FFF2-40B4-BE49-F238E27FC236}">
                  <a16:creationId xmlns:a16="http://schemas.microsoft.com/office/drawing/2014/main" id="{00000000-0008-0000-1400-00004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145478" name="Check_x0020_Box_x0020_73" hidden="1">
              <a:extLst>
                <a:ext uri="{63B3BB69-23CF-44E3-9099-C40C66FF867C}">
                  <a14:compatExt spid="_x0000_s145478"/>
                </a:ext>
                <a:ext uri="{FF2B5EF4-FFF2-40B4-BE49-F238E27FC236}">
                  <a16:creationId xmlns:a16="http://schemas.microsoft.com/office/drawing/2014/main" id="{00000000-0008-0000-1400-00004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79" name="Check_x0020_Box_x0020_74" hidden="1">
              <a:extLst>
                <a:ext uri="{63B3BB69-23CF-44E3-9099-C40C66FF867C}">
                  <a14:compatExt spid="_x0000_s145479"/>
                </a:ext>
                <a:ext uri="{FF2B5EF4-FFF2-40B4-BE49-F238E27FC236}">
                  <a16:creationId xmlns:a16="http://schemas.microsoft.com/office/drawing/2014/main" id="{00000000-0008-0000-1400-00004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480" name="Check_x0020_Box_x0020_75" hidden="1">
              <a:extLst>
                <a:ext uri="{63B3BB69-23CF-44E3-9099-C40C66FF867C}">
                  <a14:compatExt spid="_x0000_s145480"/>
                </a:ext>
                <a:ext uri="{FF2B5EF4-FFF2-40B4-BE49-F238E27FC236}">
                  <a16:creationId xmlns:a16="http://schemas.microsoft.com/office/drawing/2014/main" id="{00000000-0008-0000-1400-00004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145481" name="Check_x0020_Box_x0020_76" hidden="1">
              <a:extLst>
                <a:ext uri="{63B3BB69-23CF-44E3-9099-C40C66FF867C}">
                  <a14:compatExt spid="_x0000_s145481"/>
                </a:ext>
                <a:ext uri="{FF2B5EF4-FFF2-40B4-BE49-F238E27FC236}">
                  <a16:creationId xmlns:a16="http://schemas.microsoft.com/office/drawing/2014/main" id="{00000000-0008-0000-1400-00004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145482" name="Check_x0020_Box_x0020_77" hidden="1">
              <a:extLst>
                <a:ext uri="{63B3BB69-23CF-44E3-9099-C40C66FF867C}">
                  <a14:compatExt spid="_x0000_s145482"/>
                </a:ext>
                <a:ext uri="{FF2B5EF4-FFF2-40B4-BE49-F238E27FC236}">
                  <a16:creationId xmlns:a16="http://schemas.microsoft.com/office/drawing/2014/main" id="{00000000-0008-0000-1400-00004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145483" name="Check_x0020_Box_x0020_78" hidden="1">
              <a:extLst>
                <a:ext uri="{63B3BB69-23CF-44E3-9099-C40C66FF867C}">
                  <a14:compatExt spid="_x0000_s145483"/>
                </a:ext>
                <a:ext uri="{FF2B5EF4-FFF2-40B4-BE49-F238E27FC236}">
                  <a16:creationId xmlns:a16="http://schemas.microsoft.com/office/drawing/2014/main" id="{00000000-0008-0000-1400-00004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145484" name="Check_x0020_Box_x0020_79" hidden="1">
              <a:extLst>
                <a:ext uri="{63B3BB69-23CF-44E3-9099-C40C66FF867C}">
                  <a14:compatExt spid="_x0000_s145484"/>
                </a:ext>
                <a:ext uri="{FF2B5EF4-FFF2-40B4-BE49-F238E27FC236}">
                  <a16:creationId xmlns:a16="http://schemas.microsoft.com/office/drawing/2014/main" id="{00000000-0008-0000-1400-00004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145485" name="Check_x0020_Box_x0020_80" hidden="1">
              <a:extLst>
                <a:ext uri="{63B3BB69-23CF-44E3-9099-C40C66FF867C}">
                  <a14:compatExt spid="_x0000_s145485"/>
                </a:ext>
                <a:ext uri="{FF2B5EF4-FFF2-40B4-BE49-F238E27FC236}">
                  <a16:creationId xmlns:a16="http://schemas.microsoft.com/office/drawing/2014/main" id="{00000000-0008-0000-1400-00004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145486" name="Check_x0020_Box_x0020_81" hidden="1">
              <a:extLst>
                <a:ext uri="{63B3BB69-23CF-44E3-9099-C40C66FF867C}">
                  <a14:compatExt spid="_x0000_s145486"/>
                </a:ext>
                <a:ext uri="{FF2B5EF4-FFF2-40B4-BE49-F238E27FC236}">
                  <a16:creationId xmlns:a16="http://schemas.microsoft.com/office/drawing/2014/main" id="{00000000-0008-0000-1400-00004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145487" name="Check_x0020_Box_x0020_83" hidden="1">
              <a:extLst>
                <a:ext uri="{63B3BB69-23CF-44E3-9099-C40C66FF867C}">
                  <a14:compatExt spid="_x0000_s145487"/>
                </a:ext>
                <a:ext uri="{FF2B5EF4-FFF2-40B4-BE49-F238E27FC236}">
                  <a16:creationId xmlns:a16="http://schemas.microsoft.com/office/drawing/2014/main" id="{00000000-0008-0000-1400-00004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145488" name="Check_x0020_Box_x0020_84" hidden="1">
              <a:extLst>
                <a:ext uri="{63B3BB69-23CF-44E3-9099-C40C66FF867C}">
                  <a14:compatExt spid="_x0000_s145488"/>
                </a:ext>
                <a:ext uri="{FF2B5EF4-FFF2-40B4-BE49-F238E27FC236}">
                  <a16:creationId xmlns:a16="http://schemas.microsoft.com/office/drawing/2014/main" id="{00000000-0008-0000-1400-00005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145489" name="Check_x0020_Box_x0020_85" hidden="1">
              <a:extLst>
                <a:ext uri="{63B3BB69-23CF-44E3-9099-C40C66FF867C}">
                  <a14:compatExt spid="_x0000_s145489"/>
                </a:ext>
                <a:ext uri="{FF2B5EF4-FFF2-40B4-BE49-F238E27FC236}">
                  <a16:creationId xmlns:a16="http://schemas.microsoft.com/office/drawing/2014/main" id="{00000000-0008-0000-1400-00005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145490" name="Check_x0020_Box_x0020_86" hidden="1">
              <a:extLst>
                <a:ext uri="{63B3BB69-23CF-44E3-9099-C40C66FF867C}">
                  <a14:compatExt spid="_x0000_s145490"/>
                </a:ext>
                <a:ext uri="{FF2B5EF4-FFF2-40B4-BE49-F238E27FC236}">
                  <a16:creationId xmlns:a16="http://schemas.microsoft.com/office/drawing/2014/main" id="{00000000-0008-0000-1400-00005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145491" name="Check_x0020_Box_x0020_87" hidden="1">
              <a:extLst>
                <a:ext uri="{63B3BB69-23CF-44E3-9099-C40C66FF867C}">
                  <a14:compatExt spid="_x0000_s145491"/>
                </a:ext>
                <a:ext uri="{FF2B5EF4-FFF2-40B4-BE49-F238E27FC236}">
                  <a16:creationId xmlns:a16="http://schemas.microsoft.com/office/drawing/2014/main" id="{00000000-0008-0000-1400-00005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145492" name="Check_x0020_Box_x0020_88" hidden="1">
              <a:extLst>
                <a:ext uri="{63B3BB69-23CF-44E3-9099-C40C66FF867C}">
                  <a14:compatExt spid="_x0000_s145492"/>
                </a:ext>
                <a:ext uri="{FF2B5EF4-FFF2-40B4-BE49-F238E27FC236}">
                  <a16:creationId xmlns:a16="http://schemas.microsoft.com/office/drawing/2014/main" id="{00000000-0008-0000-1400-00005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145493" name="Check_x0020_Box_x0020_89" hidden="1">
              <a:extLst>
                <a:ext uri="{63B3BB69-23CF-44E3-9099-C40C66FF867C}">
                  <a14:compatExt spid="_x0000_s145493"/>
                </a:ext>
                <a:ext uri="{FF2B5EF4-FFF2-40B4-BE49-F238E27FC236}">
                  <a16:creationId xmlns:a16="http://schemas.microsoft.com/office/drawing/2014/main" id="{00000000-0008-0000-1400-00005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145494" name="Check_x0020_Box_x0020_90" hidden="1">
              <a:extLst>
                <a:ext uri="{63B3BB69-23CF-44E3-9099-C40C66FF867C}">
                  <a14:compatExt spid="_x0000_s145494"/>
                </a:ext>
                <a:ext uri="{FF2B5EF4-FFF2-40B4-BE49-F238E27FC236}">
                  <a16:creationId xmlns:a16="http://schemas.microsoft.com/office/drawing/2014/main" id="{00000000-0008-0000-1400-00005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145495" name="Check_x0020_Box_x0020_91" hidden="1">
              <a:extLst>
                <a:ext uri="{63B3BB69-23CF-44E3-9099-C40C66FF867C}">
                  <a14:compatExt spid="_x0000_s145495"/>
                </a:ext>
                <a:ext uri="{FF2B5EF4-FFF2-40B4-BE49-F238E27FC236}">
                  <a16:creationId xmlns:a16="http://schemas.microsoft.com/office/drawing/2014/main" id="{00000000-0008-0000-1400-00005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145496" name="Check_x0020_Box_x0020_92" hidden="1">
              <a:extLst>
                <a:ext uri="{63B3BB69-23CF-44E3-9099-C40C66FF867C}">
                  <a14:compatExt spid="_x0000_s145496"/>
                </a:ext>
                <a:ext uri="{FF2B5EF4-FFF2-40B4-BE49-F238E27FC236}">
                  <a16:creationId xmlns:a16="http://schemas.microsoft.com/office/drawing/2014/main" id="{00000000-0008-0000-1400-00005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145497" name="Check_x0020_Box_x0020_93" hidden="1">
              <a:extLst>
                <a:ext uri="{63B3BB69-23CF-44E3-9099-C40C66FF867C}">
                  <a14:compatExt spid="_x0000_s145497"/>
                </a:ext>
                <a:ext uri="{FF2B5EF4-FFF2-40B4-BE49-F238E27FC236}">
                  <a16:creationId xmlns:a16="http://schemas.microsoft.com/office/drawing/2014/main" id="{00000000-0008-0000-1400-00005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145498" name="Check_x0020_Box_x0020_94" hidden="1">
              <a:extLst>
                <a:ext uri="{63B3BB69-23CF-44E3-9099-C40C66FF867C}">
                  <a14:compatExt spid="_x0000_s145498"/>
                </a:ext>
                <a:ext uri="{FF2B5EF4-FFF2-40B4-BE49-F238E27FC236}">
                  <a16:creationId xmlns:a16="http://schemas.microsoft.com/office/drawing/2014/main" id="{00000000-0008-0000-1400-00005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99" name="Check_x0020_Box_x0020_95" hidden="1">
              <a:extLst>
                <a:ext uri="{63B3BB69-23CF-44E3-9099-C40C66FF867C}">
                  <a14:compatExt spid="_x0000_s145499"/>
                </a:ext>
                <a:ext uri="{FF2B5EF4-FFF2-40B4-BE49-F238E27FC236}">
                  <a16:creationId xmlns:a16="http://schemas.microsoft.com/office/drawing/2014/main" id="{00000000-0008-0000-1400-00005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500" name="Check_x0020_Box_x0020_96" hidden="1">
              <a:extLst>
                <a:ext uri="{63B3BB69-23CF-44E3-9099-C40C66FF867C}">
                  <a14:compatExt spid="_x0000_s145500"/>
                </a:ext>
                <a:ext uri="{FF2B5EF4-FFF2-40B4-BE49-F238E27FC236}">
                  <a16:creationId xmlns:a16="http://schemas.microsoft.com/office/drawing/2014/main" id="{00000000-0008-0000-1400-00005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1" name="Check_x0020_Box_x0020_97" hidden="1">
              <a:extLst>
                <a:ext uri="{63B3BB69-23CF-44E3-9099-C40C66FF867C}">
                  <a14:compatExt spid="_x0000_s145501"/>
                </a:ext>
                <a:ext uri="{FF2B5EF4-FFF2-40B4-BE49-F238E27FC236}">
                  <a16:creationId xmlns:a16="http://schemas.microsoft.com/office/drawing/2014/main" id="{00000000-0008-0000-1400-00005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2" name="Check_x0020_Box_x0020_98" hidden="1">
              <a:extLst>
                <a:ext uri="{63B3BB69-23CF-44E3-9099-C40C66FF867C}">
                  <a14:compatExt spid="_x0000_s145502"/>
                </a:ext>
                <a:ext uri="{FF2B5EF4-FFF2-40B4-BE49-F238E27FC236}">
                  <a16:creationId xmlns:a16="http://schemas.microsoft.com/office/drawing/2014/main" id="{00000000-0008-0000-1400-00005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3" name="Check_x0020_Box_x0020_99" hidden="1">
              <a:extLst>
                <a:ext uri="{63B3BB69-23CF-44E3-9099-C40C66FF867C}">
                  <a14:compatExt spid="_x0000_s145503"/>
                </a:ext>
                <a:ext uri="{FF2B5EF4-FFF2-40B4-BE49-F238E27FC236}">
                  <a16:creationId xmlns:a16="http://schemas.microsoft.com/office/drawing/2014/main" id="{00000000-0008-0000-1400-00005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4" name="Check_x0020_Box_x0020_100" hidden="1">
              <a:extLst>
                <a:ext uri="{63B3BB69-23CF-44E3-9099-C40C66FF867C}">
                  <a14:compatExt spid="_x0000_s145504"/>
                </a:ext>
                <a:ext uri="{FF2B5EF4-FFF2-40B4-BE49-F238E27FC236}">
                  <a16:creationId xmlns:a16="http://schemas.microsoft.com/office/drawing/2014/main" id="{00000000-0008-0000-1400-00006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145505" name="Check_x0020_Box_x0020_101" hidden="1">
              <a:extLst>
                <a:ext uri="{63B3BB69-23CF-44E3-9099-C40C66FF867C}">
                  <a14:compatExt spid="_x0000_s145505"/>
                </a:ext>
                <a:ext uri="{FF2B5EF4-FFF2-40B4-BE49-F238E27FC236}">
                  <a16:creationId xmlns:a16="http://schemas.microsoft.com/office/drawing/2014/main" id="{00000000-0008-0000-1400-00006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145506" name="Check_x0020_Box_x0020_103" hidden="1">
              <a:extLst>
                <a:ext uri="{63B3BB69-23CF-44E3-9099-C40C66FF867C}">
                  <a14:compatExt spid="_x0000_s145506"/>
                </a:ext>
                <a:ext uri="{FF2B5EF4-FFF2-40B4-BE49-F238E27FC236}">
                  <a16:creationId xmlns:a16="http://schemas.microsoft.com/office/drawing/2014/main" id="{00000000-0008-0000-1400-00006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145507" name="Check_x0020_Box_x0020_104" hidden="1">
              <a:extLst>
                <a:ext uri="{63B3BB69-23CF-44E3-9099-C40C66FF867C}">
                  <a14:compatExt spid="_x0000_s145507"/>
                </a:ext>
                <a:ext uri="{FF2B5EF4-FFF2-40B4-BE49-F238E27FC236}">
                  <a16:creationId xmlns:a16="http://schemas.microsoft.com/office/drawing/2014/main" id="{00000000-0008-0000-1400-00006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145508" name="Check_x0020_Box_x0020_105" hidden="1">
              <a:extLst>
                <a:ext uri="{63B3BB69-23CF-44E3-9099-C40C66FF867C}">
                  <a14:compatExt spid="_x0000_s145508"/>
                </a:ext>
                <a:ext uri="{FF2B5EF4-FFF2-40B4-BE49-F238E27FC236}">
                  <a16:creationId xmlns:a16="http://schemas.microsoft.com/office/drawing/2014/main" id="{00000000-0008-0000-1400-00006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145509" name="Check_x0020_Box_x0020_106" hidden="1">
              <a:extLst>
                <a:ext uri="{63B3BB69-23CF-44E3-9099-C40C66FF867C}">
                  <a14:compatExt spid="_x0000_s145509"/>
                </a:ext>
                <a:ext uri="{FF2B5EF4-FFF2-40B4-BE49-F238E27FC236}">
                  <a16:creationId xmlns:a16="http://schemas.microsoft.com/office/drawing/2014/main" id="{00000000-0008-0000-1400-00006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145510" name="Check_x0020_Box_x0020_107" hidden="1">
              <a:extLst>
                <a:ext uri="{63B3BB69-23CF-44E3-9099-C40C66FF867C}">
                  <a14:compatExt spid="_x0000_s145510"/>
                </a:ext>
                <a:ext uri="{FF2B5EF4-FFF2-40B4-BE49-F238E27FC236}">
                  <a16:creationId xmlns:a16="http://schemas.microsoft.com/office/drawing/2014/main" id="{00000000-0008-0000-1400-00006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145511" name="Check_x0020_Box_x0020_109" hidden="1">
              <a:extLst>
                <a:ext uri="{63B3BB69-23CF-44E3-9099-C40C66FF867C}">
                  <a14:compatExt spid="_x0000_s145511"/>
                </a:ext>
                <a:ext uri="{FF2B5EF4-FFF2-40B4-BE49-F238E27FC236}">
                  <a16:creationId xmlns:a16="http://schemas.microsoft.com/office/drawing/2014/main" id="{00000000-0008-0000-1400-00006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145512" name="Check_x0020_Box_x0020_102" hidden="1">
              <a:extLst>
                <a:ext uri="{63B3BB69-23CF-44E3-9099-C40C66FF867C}">
                  <a14:compatExt spid="_x0000_s145512"/>
                </a:ext>
                <a:ext uri="{FF2B5EF4-FFF2-40B4-BE49-F238E27FC236}">
                  <a16:creationId xmlns:a16="http://schemas.microsoft.com/office/drawing/2014/main" id="{00000000-0008-0000-1400-00006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66675</xdr:colOff>
          <xdr:row>52</xdr:row>
          <xdr:rowOff>19050</xdr:rowOff>
        </xdr:to>
        <xdr:sp macro="" textlink="">
          <xdr:nvSpPr>
            <xdr:cNvPr id="145513" name="Check Box 105" hidden="1">
              <a:extLst>
                <a:ext uri="{63B3BB69-23CF-44E3-9099-C40C66FF867C}">
                  <a14:compatExt spid="_x0000_s145513"/>
                </a:ext>
                <a:ext uri="{FF2B5EF4-FFF2-40B4-BE49-F238E27FC236}">
                  <a16:creationId xmlns:a16="http://schemas.microsoft.com/office/drawing/2014/main" id="{00000000-0008-0000-1400-00006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0</xdr:rowOff>
        </xdr:from>
        <xdr:to>
          <xdr:col>31</xdr:col>
          <xdr:colOff>66675</xdr:colOff>
          <xdr:row>52</xdr:row>
          <xdr:rowOff>19050</xdr:rowOff>
        </xdr:to>
        <xdr:sp macro="" textlink="">
          <xdr:nvSpPr>
            <xdr:cNvPr id="145514" name="Check Box 106" hidden="1">
              <a:extLst>
                <a:ext uri="{63B3BB69-23CF-44E3-9099-C40C66FF867C}">
                  <a14:compatExt spid="_x0000_s145514"/>
                </a:ext>
                <a:ext uri="{FF2B5EF4-FFF2-40B4-BE49-F238E27FC236}">
                  <a16:creationId xmlns:a16="http://schemas.microsoft.com/office/drawing/2014/main" id="{00000000-0008-0000-1400-00006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0</xdr:rowOff>
        </xdr:from>
        <xdr:to>
          <xdr:col>12</xdr:col>
          <xdr:colOff>38100</xdr:colOff>
          <xdr:row>52</xdr:row>
          <xdr:rowOff>19050</xdr:rowOff>
        </xdr:to>
        <xdr:sp macro="" textlink="">
          <xdr:nvSpPr>
            <xdr:cNvPr id="145515" name="Check Box 107" hidden="1">
              <a:extLst>
                <a:ext uri="{63B3BB69-23CF-44E3-9099-C40C66FF867C}">
                  <a14:compatExt spid="_x0000_s145515"/>
                </a:ext>
                <a:ext uri="{FF2B5EF4-FFF2-40B4-BE49-F238E27FC236}">
                  <a16:creationId xmlns:a16="http://schemas.microsoft.com/office/drawing/2014/main" id="{00000000-0008-0000-1400-00006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180975</xdr:rowOff>
        </xdr:from>
        <xdr:to>
          <xdr:col>9</xdr:col>
          <xdr:colOff>66675</xdr:colOff>
          <xdr:row>53</xdr:row>
          <xdr:rowOff>9525</xdr:rowOff>
        </xdr:to>
        <xdr:sp macro="" textlink="">
          <xdr:nvSpPr>
            <xdr:cNvPr id="145516" name="Check Box 108" hidden="1">
              <a:extLst>
                <a:ext uri="{63B3BB69-23CF-44E3-9099-C40C66FF867C}">
                  <a14:compatExt spid="_x0000_s145516"/>
                </a:ext>
                <a:ext uri="{FF2B5EF4-FFF2-40B4-BE49-F238E27FC236}">
                  <a16:creationId xmlns:a16="http://schemas.microsoft.com/office/drawing/2014/main" id="{00000000-0008-0000-1400-00006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180975</xdr:rowOff>
        </xdr:from>
        <xdr:to>
          <xdr:col>31</xdr:col>
          <xdr:colOff>66675</xdr:colOff>
          <xdr:row>53</xdr:row>
          <xdr:rowOff>9525</xdr:rowOff>
        </xdr:to>
        <xdr:sp macro="" textlink="">
          <xdr:nvSpPr>
            <xdr:cNvPr id="145517" name="Check Box 109" hidden="1">
              <a:extLst>
                <a:ext uri="{63B3BB69-23CF-44E3-9099-C40C66FF867C}">
                  <a14:compatExt spid="_x0000_s145517"/>
                </a:ext>
                <a:ext uri="{FF2B5EF4-FFF2-40B4-BE49-F238E27FC236}">
                  <a16:creationId xmlns:a16="http://schemas.microsoft.com/office/drawing/2014/main" id="{00000000-0008-0000-1400-00006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180975</xdr:rowOff>
        </xdr:from>
        <xdr:to>
          <xdr:col>12</xdr:col>
          <xdr:colOff>38100</xdr:colOff>
          <xdr:row>53</xdr:row>
          <xdr:rowOff>9525</xdr:rowOff>
        </xdr:to>
        <xdr:sp macro="" textlink="">
          <xdr:nvSpPr>
            <xdr:cNvPr id="145518" name="Check Box 110" hidden="1">
              <a:extLst>
                <a:ext uri="{63B3BB69-23CF-44E3-9099-C40C66FF867C}">
                  <a14:compatExt spid="_x0000_s145518"/>
                </a:ext>
                <a:ext uri="{FF2B5EF4-FFF2-40B4-BE49-F238E27FC236}">
                  <a16:creationId xmlns:a16="http://schemas.microsoft.com/office/drawing/2014/main" id="{00000000-0008-0000-1400-00006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180975</xdr:rowOff>
        </xdr:from>
        <xdr:to>
          <xdr:col>5</xdr:col>
          <xdr:colOff>47625</xdr:colOff>
          <xdr:row>58</xdr:row>
          <xdr:rowOff>9525</xdr:rowOff>
        </xdr:to>
        <xdr:sp macro="" textlink="">
          <xdr:nvSpPr>
            <xdr:cNvPr id="145519" name="Check Box 111" hidden="1">
              <a:extLst>
                <a:ext uri="{63B3BB69-23CF-44E3-9099-C40C66FF867C}">
                  <a14:compatExt spid="_x0000_s145519"/>
                </a:ext>
                <a:ext uri="{FF2B5EF4-FFF2-40B4-BE49-F238E27FC236}">
                  <a16:creationId xmlns:a16="http://schemas.microsoft.com/office/drawing/2014/main" id="{00000000-0008-0000-1400-00006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180975</xdr:rowOff>
        </xdr:from>
        <xdr:to>
          <xdr:col>16</xdr:col>
          <xdr:colOff>38100</xdr:colOff>
          <xdr:row>53</xdr:row>
          <xdr:rowOff>9525</xdr:rowOff>
        </xdr:to>
        <xdr:sp macro="" textlink="">
          <xdr:nvSpPr>
            <xdr:cNvPr id="145520" name="Check Box 112" hidden="1">
              <a:extLst>
                <a:ext uri="{63B3BB69-23CF-44E3-9099-C40C66FF867C}">
                  <a14:compatExt spid="_x0000_s145520"/>
                </a:ext>
                <a:ext uri="{FF2B5EF4-FFF2-40B4-BE49-F238E27FC236}">
                  <a16:creationId xmlns:a16="http://schemas.microsoft.com/office/drawing/2014/main" id="{00000000-0008-0000-1400-00007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180975</xdr:rowOff>
        </xdr:from>
        <xdr:to>
          <xdr:col>19</xdr:col>
          <xdr:colOff>38100</xdr:colOff>
          <xdr:row>53</xdr:row>
          <xdr:rowOff>9525</xdr:rowOff>
        </xdr:to>
        <xdr:sp macro="" textlink="">
          <xdr:nvSpPr>
            <xdr:cNvPr id="145521" name="Check Box 113" hidden="1">
              <a:extLst>
                <a:ext uri="{63B3BB69-23CF-44E3-9099-C40C66FF867C}">
                  <a14:compatExt spid="_x0000_s145521"/>
                </a:ext>
                <a:ext uri="{FF2B5EF4-FFF2-40B4-BE49-F238E27FC236}">
                  <a16:creationId xmlns:a16="http://schemas.microsoft.com/office/drawing/2014/main" id="{00000000-0008-0000-1400-00007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51</xdr:row>
          <xdr:rowOff>180975</xdr:rowOff>
        </xdr:from>
        <xdr:to>
          <xdr:col>23</xdr:col>
          <xdr:colOff>38100</xdr:colOff>
          <xdr:row>53</xdr:row>
          <xdr:rowOff>9525</xdr:rowOff>
        </xdr:to>
        <xdr:sp macro="" textlink="">
          <xdr:nvSpPr>
            <xdr:cNvPr id="145522" name="Check Box 114" hidden="1">
              <a:extLst>
                <a:ext uri="{63B3BB69-23CF-44E3-9099-C40C66FF867C}">
                  <a14:compatExt spid="_x0000_s145522"/>
                </a:ext>
                <a:ext uri="{FF2B5EF4-FFF2-40B4-BE49-F238E27FC236}">
                  <a16:creationId xmlns:a16="http://schemas.microsoft.com/office/drawing/2014/main" id="{00000000-0008-0000-1400-00007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3" name="Check Box 115" hidden="1">
              <a:extLst>
                <a:ext uri="{63B3BB69-23CF-44E3-9099-C40C66FF867C}">
                  <a14:compatExt spid="_x0000_s145523"/>
                </a:ext>
                <a:ext uri="{FF2B5EF4-FFF2-40B4-BE49-F238E27FC236}">
                  <a16:creationId xmlns:a16="http://schemas.microsoft.com/office/drawing/2014/main" id="{00000000-0008-0000-1400-00007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4" name="Check Box 116" hidden="1">
              <a:extLst>
                <a:ext uri="{63B3BB69-23CF-44E3-9099-C40C66FF867C}">
                  <a14:compatExt spid="_x0000_s145524"/>
                </a:ext>
                <a:ext uri="{FF2B5EF4-FFF2-40B4-BE49-F238E27FC236}">
                  <a16:creationId xmlns:a16="http://schemas.microsoft.com/office/drawing/2014/main" id="{00000000-0008-0000-1400-00007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5" name="Check Box 117" hidden="1">
              <a:extLst>
                <a:ext uri="{63B3BB69-23CF-44E3-9099-C40C66FF867C}">
                  <a14:compatExt spid="_x0000_s145525"/>
                </a:ext>
                <a:ext uri="{FF2B5EF4-FFF2-40B4-BE49-F238E27FC236}">
                  <a16:creationId xmlns:a16="http://schemas.microsoft.com/office/drawing/2014/main" id="{00000000-0008-0000-1400-00007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6" name="Check Box 118" hidden="1">
              <a:extLst>
                <a:ext uri="{63B3BB69-23CF-44E3-9099-C40C66FF867C}">
                  <a14:compatExt spid="_x0000_s145526"/>
                </a:ext>
                <a:ext uri="{FF2B5EF4-FFF2-40B4-BE49-F238E27FC236}">
                  <a16:creationId xmlns:a16="http://schemas.microsoft.com/office/drawing/2014/main" id="{00000000-0008-0000-1400-00007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145527" name="Check Box 119" hidden="1">
              <a:extLst>
                <a:ext uri="{63B3BB69-23CF-44E3-9099-C40C66FF867C}">
                  <a14:compatExt spid="_x0000_s145527"/>
                </a:ext>
                <a:ext uri="{FF2B5EF4-FFF2-40B4-BE49-F238E27FC236}">
                  <a16:creationId xmlns:a16="http://schemas.microsoft.com/office/drawing/2014/main" id="{00000000-0008-0000-1400-00007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145528" name="Check Box 120" hidden="1">
              <a:extLst>
                <a:ext uri="{63B3BB69-23CF-44E3-9099-C40C66FF867C}">
                  <a14:compatExt spid="_x0000_s145528"/>
                </a:ext>
                <a:ext uri="{FF2B5EF4-FFF2-40B4-BE49-F238E27FC236}">
                  <a16:creationId xmlns:a16="http://schemas.microsoft.com/office/drawing/2014/main" id="{00000000-0008-0000-1400-00007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145529" name="Check Box 121" hidden="1">
              <a:extLst>
                <a:ext uri="{63B3BB69-23CF-44E3-9099-C40C66FF867C}">
                  <a14:compatExt spid="_x0000_s145529"/>
                </a:ext>
                <a:ext uri="{FF2B5EF4-FFF2-40B4-BE49-F238E27FC236}">
                  <a16:creationId xmlns:a16="http://schemas.microsoft.com/office/drawing/2014/main" id="{00000000-0008-0000-1400-00007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54</xdr:row>
          <xdr:rowOff>180975</xdr:rowOff>
        </xdr:from>
        <xdr:to>
          <xdr:col>11</xdr:col>
          <xdr:colOff>38100</xdr:colOff>
          <xdr:row>56</xdr:row>
          <xdr:rowOff>9525</xdr:rowOff>
        </xdr:to>
        <xdr:sp macro="" textlink="">
          <xdr:nvSpPr>
            <xdr:cNvPr id="145530" name="Check Box 122" hidden="1">
              <a:extLst>
                <a:ext uri="{63B3BB69-23CF-44E3-9099-C40C66FF867C}">
                  <a14:compatExt spid="_x0000_s145530"/>
                </a:ext>
                <a:ext uri="{FF2B5EF4-FFF2-40B4-BE49-F238E27FC236}">
                  <a16:creationId xmlns:a16="http://schemas.microsoft.com/office/drawing/2014/main" id="{00000000-0008-0000-1400-00007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53</xdr:row>
          <xdr:rowOff>180975</xdr:rowOff>
        </xdr:from>
        <xdr:to>
          <xdr:col>5</xdr:col>
          <xdr:colOff>38100</xdr:colOff>
          <xdr:row>55</xdr:row>
          <xdr:rowOff>9525</xdr:rowOff>
        </xdr:to>
        <xdr:sp macro="" textlink="">
          <xdr:nvSpPr>
            <xdr:cNvPr id="145531" name="Check Box 123" hidden="1">
              <a:extLst>
                <a:ext uri="{63B3BB69-23CF-44E3-9099-C40C66FF867C}">
                  <a14:compatExt spid="_x0000_s145531"/>
                </a:ext>
                <a:ext uri="{FF2B5EF4-FFF2-40B4-BE49-F238E27FC236}">
                  <a16:creationId xmlns:a16="http://schemas.microsoft.com/office/drawing/2014/main" id="{00000000-0008-0000-1400-00007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54</xdr:row>
          <xdr:rowOff>180975</xdr:rowOff>
        </xdr:from>
        <xdr:to>
          <xdr:col>5</xdr:col>
          <xdr:colOff>38100</xdr:colOff>
          <xdr:row>56</xdr:row>
          <xdr:rowOff>9525</xdr:rowOff>
        </xdr:to>
        <xdr:sp macro="" textlink="">
          <xdr:nvSpPr>
            <xdr:cNvPr id="145532" name="Check Box 124" hidden="1">
              <a:extLst>
                <a:ext uri="{63B3BB69-23CF-44E3-9099-C40C66FF867C}">
                  <a14:compatExt spid="_x0000_s145532"/>
                </a:ext>
                <a:ext uri="{FF2B5EF4-FFF2-40B4-BE49-F238E27FC236}">
                  <a16:creationId xmlns:a16="http://schemas.microsoft.com/office/drawing/2014/main" id="{00000000-0008-0000-1400-00007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55</xdr:row>
          <xdr:rowOff>180975</xdr:rowOff>
        </xdr:from>
        <xdr:to>
          <xdr:col>11</xdr:col>
          <xdr:colOff>38100</xdr:colOff>
          <xdr:row>57</xdr:row>
          <xdr:rowOff>9525</xdr:rowOff>
        </xdr:to>
        <xdr:sp macro="" textlink="">
          <xdr:nvSpPr>
            <xdr:cNvPr id="145533" name="Check Box 125" hidden="1">
              <a:extLst>
                <a:ext uri="{63B3BB69-23CF-44E3-9099-C40C66FF867C}">
                  <a14:compatExt spid="_x0000_s145533"/>
                </a:ext>
                <a:ext uri="{FF2B5EF4-FFF2-40B4-BE49-F238E27FC236}">
                  <a16:creationId xmlns:a16="http://schemas.microsoft.com/office/drawing/2014/main" id="{00000000-0008-0000-1400-00007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180975</xdr:rowOff>
        </xdr:from>
        <xdr:to>
          <xdr:col>16</xdr:col>
          <xdr:colOff>38100</xdr:colOff>
          <xdr:row>56</xdr:row>
          <xdr:rowOff>9525</xdr:rowOff>
        </xdr:to>
        <xdr:sp macro="" textlink="">
          <xdr:nvSpPr>
            <xdr:cNvPr id="145534" name="Check Box 126" hidden="1">
              <a:extLst>
                <a:ext uri="{63B3BB69-23CF-44E3-9099-C40C66FF867C}">
                  <a14:compatExt spid="_x0000_s145534"/>
                </a:ext>
                <a:ext uri="{FF2B5EF4-FFF2-40B4-BE49-F238E27FC236}">
                  <a16:creationId xmlns:a16="http://schemas.microsoft.com/office/drawing/2014/main" id="{00000000-0008-0000-1400-00007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53</xdr:row>
          <xdr:rowOff>180975</xdr:rowOff>
        </xdr:from>
        <xdr:to>
          <xdr:col>11</xdr:col>
          <xdr:colOff>38100</xdr:colOff>
          <xdr:row>55</xdr:row>
          <xdr:rowOff>9525</xdr:rowOff>
        </xdr:to>
        <xdr:sp macro="" textlink="">
          <xdr:nvSpPr>
            <xdr:cNvPr id="145535" name="Check Box 127" hidden="1">
              <a:extLst>
                <a:ext uri="{63B3BB69-23CF-44E3-9099-C40C66FF867C}">
                  <a14:compatExt spid="_x0000_s145535"/>
                </a:ext>
                <a:ext uri="{FF2B5EF4-FFF2-40B4-BE49-F238E27FC236}">
                  <a16:creationId xmlns:a16="http://schemas.microsoft.com/office/drawing/2014/main" id="{00000000-0008-0000-1400-00007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55</xdr:row>
          <xdr:rowOff>180975</xdr:rowOff>
        </xdr:from>
        <xdr:to>
          <xdr:col>5</xdr:col>
          <xdr:colOff>38100</xdr:colOff>
          <xdr:row>57</xdr:row>
          <xdr:rowOff>9525</xdr:rowOff>
        </xdr:to>
        <xdr:sp macro="" textlink="">
          <xdr:nvSpPr>
            <xdr:cNvPr id="145536" name="Check Box 128" hidden="1">
              <a:extLst>
                <a:ext uri="{63B3BB69-23CF-44E3-9099-C40C66FF867C}">
                  <a14:compatExt spid="_x0000_s145536"/>
                </a:ext>
                <a:ext uri="{FF2B5EF4-FFF2-40B4-BE49-F238E27FC236}">
                  <a16:creationId xmlns:a16="http://schemas.microsoft.com/office/drawing/2014/main" id="{00000000-0008-0000-1400-00008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180975</xdr:rowOff>
        </xdr:from>
        <xdr:to>
          <xdr:col>16</xdr:col>
          <xdr:colOff>38100</xdr:colOff>
          <xdr:row>57</xdr:row>
          <xdr:rowOff>9525</xdr:rowOff>
        </xdr:to>
        <xdr:sp macro="" textlink="">
          <xdr:nvSpPr>
            <xdr:cNvPr id="145537" name="Check Box 129" hidden="1">
              <a:extLst>
                <a:ext uri="{63B3BB69-23CF-44E3-9099-C40C66FF867C}">
                  <a14:compatExt spid="_x0000_s145537"/>
                </a:ext>
                <a:ext uri="{FF2B5EF4-FFF2-40B4-BE49-F238E27FC236}">
                  <a16:creationId xmlns:a16="http://schemas.microsoft.com/office/drawing/2014/main" id="{00000000-0008-0000-1400-00008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54</xdr:row>
          <xdr:rowOff>180975</xdr:rowOff>
        </xdr:from>
        <xdr:to>
          <xdr:col>21</xdr:col>
          <xdr:colOff>38100</xdr:colOff>
          <xdr:row>56</xdr:row>
          <xdr:rowOff>9525</xdr:rowOff>
        </xdr:to>
        <xdr:sp macro="" textlink="">
          <xdr:nvSpPr>
            <xdr:cNvPr id="145538" name="Check Box 130" hidden="1">
              <a:extLst>
                <a:ext uri="{63B3BB69-23CF-44E3-9099-C40C66FF867C}">
                  <a14:compatExt spid="_x0000_s145538"/>
                </a:ext>
                <a:ext uri="{FF2B5EF4-FFF2-40B4-BE49-F238E27FC236}">
                  <a16:creationId xmlns:a16="http://schemas.microsoft.com/office/drawing/2014/main" id="{00000000-0008-0000-1400-00008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55</xdr:row>
          <xdr:rowOff>180975</xdr:rowOff>
        </xdr:from>
        <xdr:to>
          <xdr:col>21</xdr:col>
          <xdr:colOff>38100</xdr:colOff>
          <xdr:row>57</xdr:row>
          <xdr:rowOff>9525</xdr:rowOff>
        </xdr:to>
        <xdr:sp macro="" textlink="">
          <xdr:nvSpPr>
            <xdr:cNvPr id="145539" name="Check Box 131" hidden="1">
              <a:extLst>
                <a:ext uri="{63B3BB69-23CF-44E3-9099-C40C66FF867C}">
                  <a14:compatExt spid="_x0000_s145539"/>
                </a:ext>
                <a:ext uri="{FF2B5EF4-FFF2-40B4-BE49-F238E27FC236}">
                  <a16:creationId xmlns:a16="http://schemas.microsoft.com/office/drawing/2014/main" id="{00000000-0008-0000-1400-00008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55</xdr:row>
          <xdr:rowOff>180975</xdr:rowOff>
        </xdr:from>
        <xdr:to>
          <xdr:col>26</xdr:col>
          <xdr:colOff>38100</xdr:colOff>
          <xdr:row>57</xdr:row>
          <xdr:rowOff>9525</xdr:rowOff>
        </xdr:to>
        <xdr:sp macro="" textlink="">
          <xdr:nvSpPr>
            <xdr:cNvPr id="145540" name="Check Box 132" hidden="1">
              <a:extLst>
                <a:ext uri="{63B3BB69-23CF-44E3-9099-C40C66FF867C}">
                  <a14:compatExt spid="_x0000_s145540"/>
                </a:ext>
                <a:ext uri="{FF2B5EF4-FFF2-40B4-BE49-F238E27FC236}">
                  <a16:creationId xmlns:a16="http://schemas.microsoft.com/office/drawing/2014/main" id="{00000000-0008-0000-1400-00008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54</xdr:row>
          <xdr:rowOff>180975</xdr:rowOff>
        </xdr:from>
        <xdr:to>
          <xdr:col>26</xdr:col>
          <xdr:colOff>38100</xdr:colOff>
          <xdr:row>56</xdr:row>
          <xdr:rowOff>9525</xdr:rowOff>
        </xdr:to>
        <xdr:sp macro="" textlink="">
          <xdr:nvSpPr>
            <xdr:cNvPr id="145541" name="Check Box 133" hidden="1">
              <a:extLst>
                <a:ext uri="{63B3BB69-23CF-44E3-9099-C40C66FF867C}">
                  <a14:compatExt spid="_x0000_s145541"/>
                </a:ext>
                <a:ext uri="{FF2B5EF4-FFF2-40B4-BE49-F238E27FC236}">
                  <a16:creationId xmlns:a16="http://schemas.microsoft.com/office/drawing/2014/main" id="{00000000-0008-0000-1400-00008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145542" name="Check Box 134" hidden="1">
              <a:extLst>
                <a:ext uri="{63B3BB69-23CF-44E3-9099-C40C66FF867C}">
                  <a14:compatExt spid="_x0000_s145542"/>
                </a:ext>
                <a:ext uri="{FF2B5EF4-FFF2-40B4-BE49-F238E27FC236}">
                  <a16:creationId xmlns:a16="http://schemas.microsoft.com/office/drawing/2014/main" id="{00000000-0008-0000-1400-00008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145543" name="Check Box 135" hidden="1">
              <a:extLst>
                <a:ext uri="{63B3BB69-23CF-44E3-9099-C40C66FF867C}">
                  <a14:compatExt spid="_x0000_s145543"/>
                </a:ext>
                <a:ext uri="{FF2B5EF4-FFF2-40B4-BE49-F238E27FC236}">
                  <a16:creationId xmlns:a16="http://schemas.microsoft.com/office/drawing/2014/main" id="{00000000-0008-0000-1400-00008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145544" name="Check Box 136" hidden="1">
              <a:extLst>
                <a:ext uri="{63B3BB69-23CF-44E3-9099-C40C66FF867C}">
                  <a14:compatExt spid="_x0000_s145544"/>
                </a:ext>
                <a:ext uri="{FF2B5EF4-FFF2-40B4-BE49-F238E27FC236}">
                  <a16:creationId xmlns:a16="http://schemas.microsoft.com/office/drawing/2014/main" id="{00000000-0008-0000-1400-00008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145545" name="Check Box 137" hidden="1">
              <a:extLst>
                <a:ext uri="{63B3BB69-23CF-44E3-9099-C40C66FF867C}">
                  <a14:compatExt spid="_x0000_s145545"/>
                </a:ext>
                <a:ext uri="{FF2B5EF4-FFF2-40B4-BE49-F238E27FC236}">
                  <a16:creationId xmlns:a16="http://schemas.microsoft.com/office/drawing/2014/main" id="{00000000-0008-0000-1400-00008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145546" name="Check Box 138" hidden="1">
              <a:extLst>
                <a:ext uri="{63B3BB69-23CF-44E3-9099-C40C66FF867C}">
                  <a14:compatExt spid="_x0000_s145546"/>
                </a:ext>
                <a:ext uri="{FF2B5EF4-FFF2-40B4-BE49-F238E27FC236}">
                  <a16:creationId xmlns:a16="http://schemas.microsoft.com/office/drawing/2014/main" id="{00000000-0008-0000-1400-00008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145547" name="Check Box 139" hidden="1">
              <a:extLst>
                <a:ext uri="{63B3BB69-23CF-44E3-9099-C40C66FF867C}">
                  <a14:compatExt spid="_x0000_s145547"/>
                </a:ext>
                <a:ext uri="{FF2B5EF4-FFF2-40B4-BE49-F238E27FC236}">
                  <a16:creationId xmlns:a16="http://schemas.microsoft.com/office/drawing/2014/main" id="{00000000-0008-0000-1400-00008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24</xdr:col>
      <xdr:colOff>0</xdr:colOff>
      <xdr:row>19</xdr:row>
      <xdr:rowOff>0</xdr:rowOff>
    </xdr:from>
    <xdr:to>
      <xdr:col>35</xdr:col>
      <xdr:colOff>0</xdr:colOff>
      <xdr:row>21</xdr:row>
      <xdr:rowOff>37951</xdr:rowOff>
    </xdr:to>
    <xdr:sp macro="" textlink="">
      <xdr:nvSpPr>
        <xdr:cNvPr id="22" name="テキスト ボックス 5">
          <a:extLst>
            <a:ext uri="{FF2B5EF4-FFF2-40B4-BE49-F238E27FC236}">
              <a16:creationId xmlns:a16="http://schemas.microsoft.com/office/drawing/2014/main" id="{00000000-0008-0000-1300-000006000000}"/>
            </a:ext>
          </a:extLst>
        </xdr:cNvPr>
        <xdr:cNvSpPr txBox="1"/>
      </xdr:nvSpPr>
      <xdr:spPr>
        <a:xfrm>
          <a:off x="6629400" y="3619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該当に✓し、必要事項を入力してください。</a:t>
          </a:r>
        </a:p>
      </xdr:txBody>
    </xdr:sp>
    <xdr:clientData fPrintsWithSheet="0"/>
  </xdr:twoCellAnchor>
  <xdr:twoCellAnchor>
    <xdr:from>
      <xdr:col>24</xdr:col>
      <xdr:colOff>0</xdr:colOff>
      <xdr:row>31</xdr:row>
      <xdr:rowOff>0</xdr:rowOff>
    </xdr:from>
    <xdr:to>
      <xdr:col>35</xdr:col>
      <xdr:colOff>0</xdr:colOff>
      <xdr:row>33</xdr:row>
      <xdr:rowOff>37951</xdr:rowOff>
    </xdr:to>
    <xdr:sp macro="" textlink="">
      <xdr:nvSpPr>
        <xdr:cNvPr id="23" name="テキスト ボックス 6">
          <a:extLst>
            <a:ext uri="{FF2B5EF4-FFF2-40B4-BE49-F238E27FC236}">
              <a16:creationId xmlns:a16="http://schemas.microsoft.com/office/drawing/2014/main" id="{00000000-0008-0000-1300-000007000000}"/>
            </a:ext>
          </a:extLst>
        </xdr:cNvPr>
        <xdr:cNvSpPr txBox="1"/>
      </xdr:nvSpPr>
      <xdr:spPr>
        <a:xfrm>
          <a:off x="6629400" y="5905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委任された日を記入してください。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24" name="テキスト ボックス 7">
          <a:extLst>
            <a:ext uri="{FF2B5EF4-FFF2-40B4-BE49-F238E27FC236}">
              <a16:creationId xmlns:a16="http://schemas.microsoft.com/office/drawing/2014/main" id="{00000000-0008-0000-1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3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3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28575</xdr:colOff>
          <xdr:row>18</xdr:row>
          <xdr:rowOff>180975</xdr:rowOff>
        </xdr:from>
        <xdr:to>
          <xdr:col>3</xdr:col>
          <xdr:colOff>57150</xdr:colOff>
          <xdr:row>20</xdr:row>
          <xdr:rowOff>9525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500-00000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180975</xdr:rowOff>
        </xdr:from>
        <xdr:to>
          <xdr:col>7</xdr:col>
          <xdr:colOff>57150</xdr:colOff>
          <xdr:row>20</xdr:row>
          <xdr:rowOff>9525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500-00000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180975</xdr:rowOff>
        </xdr:from>
        <xdr:to>
          <xdr:col>11</xdr:col>
          <xdr:colOff>57150</xdr:colOff>
          <xdr:row>20</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500-00000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180975</xdr:rowOff>
        </xdr:from>
        <xdr:to>
          <xdr:col>3</xdr:col>
          <xdr:colOff>57150</xdr:colOff>
          <xdr:row>21</xdr:row>
          <xdr:rowOff>9525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500-00000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25" name="テキスト ボックス 1">
          <a:extLst>
            <a:ext uri="{FF2B5EF4-FFF2-40B4-BE49-F238E27FC236}">
              <a16:creationId xmlns:a16="http://schemas.microsoft.com/office/drawing/2014/main" id="{00000000-0008-0000-14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26" name="テキスト ボックス 6">
          <a:extLst>
            <a:ext uri="{FF2B5EF4-FFF2-40B4-BE49-F238E27FC236}">
              <a16:creationId xmlns:a16="http://schemas.microsoft.com/office/drawing/2014/main" id="{00000000-0008-0000-14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27" name="テキスト ボックス 7">
          <a:extLst>
            <a:ext uri="{FF2B5EF4-FFF2-40B4-BE49-F238E27FC236}">
              <a16:creationId xmlns:a16="http://schemas.microsoft.com/office/drawing/2014/main" id="{00000000-0008-0000-14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28" name="テキスト ボックス 8">
          <a:extLst>
            <a:ext uri="{FF2B5EF4-FFF2-40B4-BE49-F238E27FC236}">
              <a16:creationId xmlns:a16="http://schemas.microsoft.com/office/drawing/2014/main" id="{00000000-0008-0000-14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29" name="テキスト ボックス 9">
          <a:hlinkClick xmlns:r="http://schemas.openxmlformats.org/officeDocument/2006/relationships" r:id="rId1"/>
          <a:extLst>
            <a:ext uri="{FF2B5EF4-FFF2-40B4-BE49-F238E27FC236}">
              <a16:creationId xmlns:a16="http://schemas.microsoft.com/office/drawing/2014/main" id="{00000000-0008-0000-14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0" name="テキスト ボックス 6">
          <a:extLst>
            <a:ext uri="{FF2B5EF4-FFF2-40B4-BE49-F238E27FC236}">
              <a16:creationId xmlns:a16="http://schemas.microsoft.com/office/drawing/2014/main" id="{00000000-0008-0000-14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1" name="テキスト ボックス 1">
          <a:extLst>
            <a:ext uri="{FF2B5EF4-FFF2-40B4-BE49-F238E27FC236}">
              <a16:creationId xmlns:a16="http://schemas.microsoft.com/office/drawing/2014/main" id="{00000000-0008-0000-15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32" name="テキスト ボックス 6">
          <a:extLst>
            <a:ext uri="{FF2B5EF4-FFF2-40B4-BE49-F238E27FC236}">
              <a16:creationId xmlns:a16="http://schemas.microsoft.com/office/drawing/2014/main" id="{00000000-0008-0000-15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33" name="テキスト ボックス 7">
          <a:extLst>
            <a:ext uri="{FF2B5EF4-FFF2-40B4-BE49-F238E27FC236}">
              <a16:creationId xmlns:a16="http://schemas.microsoft.com/office/drawing/2014/main" id="{00000000-0008-0000-15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34" name="テキスト ボックス 8">
          <a:extLst>
            <a:ext uri="{FF2B5EF4-FFF2-40B4-BE49-F238E27FC236}">
              <a16:creationId xmlns:a16="http://schemas.microsoft.com/office/drawing/2014/main" id="{00000000-0008-0000-15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35" name="テキスト ボックス 9">
          <a:hlinkClick xmlns:r="http://schemas.openxmlformats.org/officeDocument/2006/relationships" r:id="rId1"/>
          <a:extLst>
            <a:ext uri="{FF2B5EF4-FFF2-40B4-BE49-F238E27FC236}">
              <a16:creationId xmlns:a16="http://schemas.microsoft.com/office/drawing/2014/main" id="{00000000-0008-0000-15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6" name="テキスト ボックス 6">
          <a:extLst>
            <a:ext uri="{FF2B5EF4-FFF2-40B4-BE49-F238E27FC236}">
              <a16:creationId xmlns:a16="http://schemas.microsoft.com/office/drawing/2014/main" id="{00000000-0008-0000-15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7" name="テキスト ボックス 3">
          <a:extLst>
            <a:ext uri="{FF2B5EF4-FFF2-40B4-BE49-F238E27FC236}">
              <a16:creationId xmlns:a16="http://schemas.microsoft.com/office/drawing/2014/main" id="{00000000-0008-0000-16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142429</xdr:rowOff>
    </xdr:to>
    <xdr:sp macro="" textlink="">
      <xdr:nvSpPr>
        <xdr:cNvPr id="38" name="テキスト ボックス 4">
          <a:extLst>
            <a:ext uri="{FF2B5EF4-FFF2-40B4-BE49-F238E27FC236}">
              <a16:creationId xmlns:a16="http://schemas.microsoft.com/office/drawing/2014/main" id="{00000000-0008-0000-1600-000005000000}"/>
            </a:ext>
          </a:extLst>
        </xdr:cNvPr>
        <xdr:cNvSpPr txBox="1"/>
      </xdr:nvSpPr>
      <xdr:spPr>
        <a:xfrm>
          <a:off x="6629400" y="6524625"/>
          <a:ext cx="2457450" cy="638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0</xdr:row>
      <xdr:rowOff>0</xdr:rowOff>
    </xdr:from>
    <xdr:to>
      <xdr:col>29</xdr:col>
      <xdr:colOff>185589</xdr:colOff>
      <xdr:row>4</xdr:row>
      <xdr:rowOff>18752</xdr:rowOff>
    </xdr:to>
    <xdr:grpSp>
      <xdr:nvGrpSpPr>
        <xdr:cNvPr id="6" name="グループ化 5">
          <a:hlinkClick xmlns:r="http://schemas.openxmlformats.org/officeDocument/2006/relationships" r:id="rId1"/>
          <a:extLst>
            <a:ext uri="{FF2B5EF4-FFF2-40B4-BE49-F238E27FC236}">
              <a16:creationId xmlns:a16="http://schemas.microsoft.com/office/drawing/2014/main" id="{00000000-0008-0000-1600-000006000000}"/>
            </a:ext>
          </a:extLst>
        </xdr:cNvPr>
        <xdr:cNvGrpSpPr/>
      </xdr:nvGrpSpPr>
      <xdr:grpSpPr>
        <a:xfrm>
          <a:off x="6629400" y="0"/>
          <a:ext cx="1566714" cy="742652"/>
          <a:chOff x="7896221" y="0"/>
          <a:chExt cx="1566617" cy="781050"/>
        </a:xfrm>
      </xdr:grpSpPr>
      <xdr:sp macro="" textlink="">
        <xdr:nvSpPr>
          <xdr:cNvPr id="7" name="円/楕円 112">
            <a:extLst>
              <a:ext uri="{FF2B5EF4-FFF2-40B4-BE49-F238E27FC236}">
                <a16:creationId xmlns:a16="http://schemas.microsoft.com/office/drawing/2014/main" id="{00000000-0008-0000-1600-000007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85725</xdr:rowOff>
    </xdr:to>
    <xdr:sp macro="" textlink="">
      <xdr:nvSpPr>
        <xdr:cNvPr id="39" name="テキスト ボックス 8">
          <a:extLst>
            <a:ext uri="{FF2B5EF4-FFF2-40B4-BE49-F238E27FC236}">
              <a16:creationId xmlns:a16="http://schemas.microsoft.com/office/drawing/2014/main" id="{00000000-0008-0000-1600-000009000000}"/>
            </a:ext>
          </a:extLst>
        </xdr:cNvPr>
        <xdr:cNvSpPr txBox="1"/>
      </xdr:nvSpPr>
      <xdr:spPr>
        <a:xfrm>
          <a:off x="6629400" y="13049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9441</xdr:colOff>
      <xdr:row>34</xdr:row>
      <xdr:rowOff>56927</xdr:rowOff>
    </xdr:from>
    <xdr:to>
      <xdr:col>42</xdr:col>
      <xdr:colOff>104663</xdr:colOff>
      <xdr:row>38</xdr:row>
      <xdr:rowOff>162223</xdr:rowOff>
    </xdr:to>
    <xdr:sp macro="" textlink="">
      <xdr:nvSpPr>
        <xdr:cNvPr id="40" name="テキスト ボックス 11">
          <a:extLst>
            <a:ext uri="{FF2B5EF4-FFF2-40B4-BE49-F238E27FC236}">
              <a16:creationId xmlns:a16="http://schemas.microsoft.com/office/drawing/2014/main" id="{00000000-0008-0000-1600-00000C000000}"/>
            </a:ext>
          </a:extLst>
        </xdr:cNvPr>
        <xdr:cNvSpPr txBox="1"/>
      </xdr:nvSpPr>
      <xdr:spPr>
        <a:xfrm>
          <a:off x="6638924" y="739140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800-00000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800-000002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800-00000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1800-00000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17</xdr:col>
      <xdr:colOff>9441</xdr:colOff>
      <xdr:row>0</xdr:row>
      <xdr:rowOff>0</xdr:rowOff>
    </xdr:from>
    <xdr:to>
      <xdr:col>21</xdr:col>
      <xdr:colOff>19152</xdr:colOff>
      <xdr:row>1</xdr:row>
      <xdr:rowOff>85576</xdr:rowOff>
    </xdr:to>
    <xdr:sp macro="" textlink="">
      <xdr:nvSpPr>
        <xdr:cNvPr id="41" name="テキスト ボックス 5">
          <a:extLst>
            <a:ext uri="{FF2B5EF4-FFF2-40B4-BE49-F238E27FC236}">
              <a16:creationId xmlns:a16="http://schemas.microsoft.com/office/drawing/2014/main" id="{00000000-0008-0000-1700-000006000000}"/>
            </a:ext>
          </a:extLst>
        </xdr:cNvPr>
        <xdr:cNvSpPr txBox="1"/>
      </xdr:nvSpPr>
      <xdr:spPr>
        <a:xfrm>
          <a:off x="470535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85781</xdr:colOff>
      <xdr:row>31</xdr:row>
      <xdr:rowOff>85576</xdr:rowOff>
    </xdr:from>
    <xdr:to>
      <xdr:col>31</xdr:col>
      <xdr:colOff>114374</xdr:colOff>
      <xdr:row>34</xdr:row>
      <xdr:rowOff>142875</xdr:rowOff>
    </xdr:to>
    <xdr:sp macro="" textlink="">
      <xdr:nvSpPr>
        <xdr:cNvPr id="42" name="テキスト ボックス 6">
          <a:extLst>
            <a:ext uri="{FF2B5EF4-FFF2-40B4-BE49-F238E27FC236}">
              <a16:creationId xmlns:a16="http://schemas.microsoft.com/office/drawing/2014/main" id="{00000000-0008-0000-1700-000007000000}"/>
            </a:ext>
          </a:extLst>
        </xdr:cNvPr>
        <xdr:cNvSpPr txBox="1"/>
      </xdr:nvSpPr>
      <xdr:spPr>
        <a:xfrm>
          <a:off x="6715125" y="5991225"/>
          <a:ext cx="1962150" cy="628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状況報告事項を入力してください</a:t>
          </a:r>
        </a:p>
      </xdr:txBody>
    </xdr:sp>
    <xdr:clientData fPrintsWithSheet="0"/>
  </xdr:twoCellAnchor>
  <xdr:twoCellAnchor>
    <xdr:from>
      <xdr:col>24</xdr:col>
      <xdr:colOff>0</xdr:colOff>
      <xdr:row>18</xdr:row>
      <xdr:rowOff>0</xdr:rowOff>
    </xdr:from>
    <xdr:to>
      <xdr:col>31</xdr:col>
      <xdr:colOff>28594</xdr:colOff>
      <xdr:row>23</xdr:row>
      <xdr:rowOff>19348</xdr:rowOff>
    </xdr:to>
    <xdr:sp macro="" textlink="">
      <xdr:nvSpPr>
        <xdr:cNvPr id="43" name="テキスト ボックス 7">
          <a:extLst>
            <a:ext uri="{FF2B5EF4-FFF2-40B4-BE49-F238E27FC236}">
              <a16:creationId xmlns:a16="http://schemas.microsoft.com/office/drawing/2014/main" id="{00000000-0008-0000-1700-000008000000}"/>
            </a:ext>
          </a:extLst>
        </xdr:cNvPr>
        <xdr:cNvSpPr txBox="1"/>
      </xdr:nvSpPr>
      <xdr:spPr>
        <a:xfrm>
          <a:off x="6629400" y="34290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確認済証番号及び検査済証番号欄の該当箇所を入力してください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7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7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85576</xdr:rowOff>
    </xdr:to>
    <xdr:sp macro="" textlink="">
      <xdr:nvSpPr>
        <xdr:cNvPr id="44" name="テキスト ボックス 11">
          <a:extLst>
            <a:ext uri="{FF2B5EF4-FFF2-40B4-BE49-F238E27FC236}">
              <a16:creationId xmlns:a16="http://schemas.microsoft.com/office/drawing/2014/main" id="{00000000-0008-0000-1700-00000C000000}"/>
            </a:ext>
          </a:extLst>
        </xdr:cNvPr>
        <xdr:cNvSpPr txBox="1"/>
      </xdr:nvSpPr>
      <xdr:spPr>
        <a:xfrm>
          <a:off x="6629400" y="762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7</xdr:col>
          <xdr:colOff>38100</xdr:colOff>
          <xdr:row>18</xdr:row>
          <xdr:rowOff>0</xdr:rowOff>
        </xdr:from>
        <xdr:to>
          <xdr:col>8</xdr:col>
          <xdr:colOff>66675</xdr:colOff>
          <xdr:row>19</xdr:row>
          <xdr:rowOff>19050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900-000001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18</xdr:row>
          <xdr:rowOff>0</xdr:rowOff>
        </xdr:from>
        <xdr:to>
          <xdr:col>22</xdr:col>
          <xdr:colOff>66675</xdr:colOff>
          <xdr:row>19</xdr:row>
          <xdr:rowOff>19050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900-000002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xdr:row>
          <xdr:rowOff>0</xdr:rowOff>
        </xdr:from>
        <xdr:to>
          <xdr:col>8</xdr:col>
          <xdr:colOff>66675</xdr:colOff>
          <xdr:row>21</xdr:row>
          <xdr:rowOff>19050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900-000003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20</xdr:row>
          <xdr:rowOff>0</xdr:rowOff>
        </xdr:from>
        <xdr:to>
          <xdr:col>22</xdr:col>
          <xdr:colOff>66675</xdr:colOff>
          <xdr:row>21</xdr:row>
          <xdr:rowOff>19050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900-000004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17</xdr:col>
      <xdr:colOff>19152</xdr:colOff>
      <xdr:row>0</xdr:row>
      <xdr:rowOff>0</xdr:rowOff>
    </xdr:from>
    <xdr:to>
      <xdr:col>21</xdr:col>
      <xdr:colOff>28594</xdr:colOff>
      <xdr:row>1</xdr:row>
      <xdr:rowOff>85576</xdr:rowOff>
    </xdr:to>
    <xdr:sp macro="" textlink="">
      <xdr:nvSpPr>
        <xdr:cNvPr id="45" name="テキスト ボックス 7">
          <a:extLst>
            <a:ext uri="{FF2B5EF4-FFF2-40B4-BE49-F238E27FC236}">
              <a16:creationId xmlns:a16="http://schemas.microsoft.com/office/drawing/2014/main" id="{00000000-0008-0000-1800-000008000000}"/>
            </a:ext>
          </a:extLst>
        </xdr:cNvPr>
        <xdr:cNvSpPr txBox="1"/>
      </xdr:nvSpPr>
      <xdr:spPr>
        <a:xfrm>
          <a:off x="471487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33</xdr:row>
      <xdr:rowOff>0</xdr:rowOff>
    </xdr:from>
    <xdr:to>
      <xdr:col>31</xdr:col>
      <xdr:colOff>28594</xdr:colOff>
      <xdr:row>38</xdr:row>
      <xdr:rowOff>19348</xdr:rowOff>
    </xdr:to>
    <xdr:sp macro="" textlink="">
      <xdr:nvSpPr>
        <xdr:cNvPr id="46" name="テキスト ボックス 8">
          <a:extLst>
            <a:ext uri="{FF2B5EF4-FFF2-40B4-BE49-F238E27FC236}">
              <a16:creationId xmlns:a16="http://schemas.microsoft.com/office/drawing/2014/main" id="{00000000-0008-0000-1800-000009000000}"/>
            </a:ext>
          </a:extLst>
        </xdr:cNvPr>
        <xdr:cNvSpPr txBox="1"/>
      </xdr:nvSpPr>
      <xdr:spPr>
        <a:xfrm>
          <a:off x="6629400" y="62865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計画概要、調査結果概要欄の該当箇所を入力してください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10" name="グループ化 9">
          <a:hlinkClick xmlns:r="http://schemas.openxmlformats.org/officeDocument/2006/relationships" r:id="rId1"/>
          <a:extLst>
            <a:ext uri="{FF2B5EF4-FFF2-40B4-BE49-F238E27FC236}">
              <a16:creationId xmlns:a16="http://schemas.microsoft.com/office/drawing/2014/main" id="{00000000-0008-0000-1800-00000A000000}"/>
            </a:ext>
          </a:extLst>
        </xdr:cNvPr>
        <xdr:cNvGrpSpPr/>
      </xdr:nvGrpSpPr>
      <xdr:grpSpPr>
        <a:xfrm>
          <a:off x="6629400" y="0"/>
          <a:ext cx="1566714" cy="781348"/>
          <a:chOff x="7896221" y="0"/>
          <a:chExt cx="1566617" cy="781050"/>
        </a:xfrm>
      </xdr:grpSpPr>
      <xdr:sp macro="" textlink="">
        <xdr:nvSpPr>
          <xdr:cNvPr id="11" name="円/楕円 112">
            <a:extLst>
              <a:ext uri="{FF2B5EF4-FFF2-40B4-BE49-F238E27FC236}">
                <a16:creationId xmlns:a16="http://schemas.microsoft.com/office/drawing/2014/main" id="{00000000-0008-0000-1800-00000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85576</xdr:rowOff>
    </xdr:to>
    <xdr:sp macro="" textlink="">
      <xdr:nvSpPr>
        <xdr:cNvPr id="47" name="テキスト ボックス 12">
          <a:extLst>
            <a:ext uri="{FF2B5EF4-FFF2-40B4-BE49-F238E27FC236}">
              <a16:creationId xmlns:a16="http://schemas.microsoft.com/office/drawing/2014/main" id="{00000000-0008-0000-1800-00000D000000}"/>
            </a:ext>
          </a:extLst>
        </xdr:cNvPr>
        <xdr:cNvSpPr txBox="1"/>
      </xdr:nvSpPr>
      <xdr:spPr>
        <a:xfrm>
          <a:off x="6629400" y="1333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36</xdr:row>
          <xdr:rowOff>0</xdr:rowOff>
        </xdr:from>
        <xdr:to>
          <xdr:col>11</xdr:col>
          <xdr:colOff>57150</xdr:colOff>
          <xdr:row>37</xdr:row>
          <xdr:rowOff>19050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A00-00000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8</xdr:col>
          <xdr:colOff>66675</xdr:colOff>
          <xdr:row>37</xdr:row>
          <xdr:rowOff>19050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A00-00000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0</xdr:rowOff>
        </xdr:from>
        <xdr:to>
          <xdr:col>11</xdr:col>
          <xdr:colOff>57150</xdr:colOff>
          <xdr:row>40</xdr:row>
          <xdr:rowOff>19050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A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8</xdr:col>
          <xdr:colOff>66675</xdr:colOff>
          <xdr:row>40</xdr:row>
          <xdr:rowOff>19050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A00-00000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43</xdr:row>
          <xdr:rowOff>180975</xdr:rowOff>
        </xdr:from>
        <xdr:to>
          <xdr:col>11</xdr:col>
          <xdr:colOff>57150</xdr:colOff>
          <xdr:row>45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A00-00000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180975</xdr:rowOff>
        </xdr:from>
        <xdr:to>
          <xdr:col>8</xdr:col>
          <xdr:colOff>66675</xdr:colOff>
          <xdr:row>45</xdr:row>
          <xdr:rowOff>9525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A00-00000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26</xdr:col>
      <xdr:colOff>0</xdr:colOff>
      <xdr:row>0</xdr:row>
      <xdr:rowOff>0</xdr:rowOff>
    </xdr:from>
    <xdr:to>
      <xdr:col>31</xdr:col>
      <xdr:colOff>185589</xdr:colOff>
      <xdr:row>3</xdr:row>
      <xdr:rowOff>219149</xdr:rowOff>
    </xdr:to>
    <xdr:grpSp>
      <xdr:nvGrpSpPr>
        <xdr:cNvPr id="28" name="グループ化 27">
          <a:hlinkClick xmlns:r="http://schemas.openxmlformats.org/officeDocument/2006/relationships" r:id="rId1"/>
          <a:extLst>
            <a:ext uri="{FF2B5EF4-FFF2-40B4-BE49-F238E27FC236}">
              <a16:creationId xmlns:a16="http://schemas.microsoft.com/office/drawing/2014/main" id="{00000000-0008-0000-1900-00001C000000}"/>
            </a:ext>
          </a:extLst>
        </xdr:cNvPr>
        <xdr:cNvGrpSpPr/>
      </xdr:nvGrpSpPr>
      <xdr:grpSpPr>
        <a:xfrm>
          <a:off x="12811125" y="0"/>
          <a:ext cx="1566714" cy="781124"/>
          <a:chOff x="7896221" y="0"/>
          <a:chExt cx="1566617" cy="781050"/>
        </a:xfrm>
      </xdr:grpSpPr>
      <xdr:sp macro="" textlink="">
        <xdr:nvSpPr>
          <xdr:cNvPr id="29" name="円/楕円 112">
            <a:extLst>
              <a:ext uri="{FF2B5EF4-FFF2-40B4-BE49-F238E27FC236}">
                <a16:creationId xmlns:a16="http://schemas.microsoft.com/office/drawing/2014/main" id="{00000000-0008-0000-1900-00001D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7</xdr:col>
          <xdr:colOff>38100</xdr:colOff>
          <xdr:row>7</xdr:row>
          <xdr:rowOff>9525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B00-00000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7</xdr:col>
          <xdr:colOff>38100</xdr:colOff>
          <xdr:row>10</xdr:row>
          <xdr:rowOff>9525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B00-00000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7</xdr:col>
          <xdr:colOff>38100</xdr:colOff>
          <xdr:row>12</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1B00-00000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180975</xdr:rowOff>
        </xdr:from>
        <xdr:to>
          <xdr:col>7</xdr:col>
          <xdr:colOff>38100</xdr:colOff>
          <xdr:row>20</xdr:row>
          <xdr:rowOff>9525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1B00-00000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180975</xdr:rowOff>
        </xdr:from>
        <xdr:to>
          <xdr:col>7</xdr:col>
          <xdr:colOff>38100</xdr:colOff>
          <xdr:row>22</xdr:row>
          <xdr:rowOff>9525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1B00-00000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7</xdr:col>
          <xdr:colOff>38100</xdr:colOff>
          <xdr:row>19</xdr:row>
          <xdr:rowOff>9525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1B00-00000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180975</xdr:rowOff>
        </xdr:from>
        <xdr:to>
          <xdr:col>7</xdr:col>
          <xdr:colOff>38100</xdr:colOff>
          <xdr:row>17</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1B00-00000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7</xdr:col>
          <xdr:colOff>38100</xdr:colOff>
          <xdr:row>11</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1B00-00000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7</xdr:col>
          <xdr:colOff>38100</xdr:colOff>
          <xdr:row>8</xdr:row>
          <xdr:rowOff>9525</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1B00-00000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180975</xdr:rowOff>
        </xdr:from>
        <xdr:to>
          <xdr:col>7</xdr:col>
          <xdr:colOff>38100</xdr:colOff>
          <xdr:row>6</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1B00-00000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180975</xdr:rowOff>
        </xdr:from>
        <xdr:to>
          <xdr:col>10</xdr:col>
          <xdr:colOff>38100</xdr:colOff>
          <xdr:row>7</xdr:row>
          <xdr:rowOff>9525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1B00-00000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180975</xdr:rowOff>
        </xdr:from>
        <xdr:to>
          <xdr:col>10</xdr:col>
          <xdr:colOff>38100</xdr:colOff>
          <xdr:row>6</xdr:row>
          <xdr:rowOff>9525</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1B00-00000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180975</xdr:rowOff>
        </xdr:from>
        <xdr:to>
          <xdr:col>10</xdr:col>
          <xdr:colOff>38100</xdr:colOff>
          <xdr:row>8</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1B00-00000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11</xdr:col>
          <xdr:colOff>38100</xdr:colOff>
          <xdr:row>11</xdr:row>
          <xdr:rowOff>9525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1B00-00000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180975</xdr:rowOff>
        </xdr:from>
        <xdr:to>
          <xdr:col>11</xdr:col>
          <xdr:colOff>38100</xdr:colOff>
          <xdr:row>12</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1B00-00000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180975</xdr:rowOff>
        </xdr:from>
        <xdr:to>
          <xdr:col>11</xdr:col>
          <xdr:colOff>38100</xdr:colOff>
          <xdr:row>20</xdr:row>
          <xdr:rowOff>9525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1B00-000010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180975</xdr:rowOff>
        </xdr:from>
        <xdr:to>
          <xdr:col>11</xdr:col>
          <xdr:colOff>38100</xdr:colOff>
          <xdr:row>22</xdr:row>
          <xdr:rowOff>9525</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1B00-00001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20</xdr:row>
          <xdr:rowOff>180975</xdr:rowOff>
        </xdr:from>
        <xdr:to>
          <xdr:col>16</xdr:col>
          <xdr:colOff>38100</xdr:colOff>
          <xdr:row>22</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1B00-00001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180975</xdr:rowOff>
        </xdr:from>
        <xdr:to>
          <xdr:col>17</xdr:col>
          <xdr:colOff>38100</xdr:colOff>
          <xdr:row>8</xdr:row>
          <xdr:rowOff>9525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1B00-00001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180975</xdr:rowOff>
        </xdr:from>
        <xdr:to>
          <xdr:col>13</xdr:col>
          <xdr:colOff>28575</xdr:colOff>
          <xdr:row>7</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1B00-00001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13</xdr:col>
          <xdr:colOff>38100</xdr:colOff>
          <xdr:row>8</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1B00-00001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180975</xdr:rowOff>
        </xdr:from>
        <xdr:to>
          <xdr:col>13</xdr:col>
          <xdr:colOff>38100</xdr:colOff>
          <xdr:row>6</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1B00-00001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180975</xdr:rowOff>
        </xdr:from>
        <xdr:to>
          <xdr:col>17</xdr:col>
          <xdr:colOff>38100</xdr:colOff>
          <xdr:row>7</xdr:row>
          <xdr:rowOff>9525</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1B00-00001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180975</xdr:rowOff>
        </xdr:from>
        <xdr:to>
          <xdr:col>11</xdr:col>
          <xdr:colOff>38100</xdr:colOff>
          <xdr:row>19</xdr:row>
          <xdr:rowOff>9525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1B00-00001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0</xdr:rowOff>
        </xdr:from>
        <xdr:to>
          <xdr:col>7</xdr:col>
          <xdr:colOff>38100</xdr:colOff>
          <xdr:row>5</xdr:row>
          <xdr:rowOff>19050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1B00-00001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285750</xdr:rowOff>
        </xdr:from>
        <xdr:to>
          <xdr:col>13</xdr:col>
          <xdr:colOff>38100</xdr:colOff>
          <xdr:row>5</xdr:row>
          <xdr:rowOff>9525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1B00-00001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295182</xdr:colOff>
      <xdr:row>1</xdr:row>
      <xdr:rowOff>47476</xdr:rowOff>
    </xdr:to>
    <xdr:sp macro="" textlink="">
      <xdr:nvSpPr>
        <xdr:cNvPr id="48" name="テキスト ボックス 14">
          <a:extLst>
            <a:ext uri="{FF2B5EF4-FFF2-40B4-BE49-F238E27FC236}">
              <a16:creationId xmlns:a16="http://schemas.microsoft.com/office/drawing/2014/main" id="{00000000-0008-0000-1A00-00000F000000}"/>
            </a:ext>
          </a:extLst>
        </xdr:cNvPr>
        <xdr:cNvSpPr txBox="1"/>
      </xdr:nvSpPr>
      <xdr:spPr>
        <a:xfrm>
          <a:off x="28575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0</xdr:row>
      <xdr:rowOff>0</xdr:rowOff>
    </xdr:from>
    <xdr:to>
      <xdr:col>18</xdr:col>
      <xdr:colOff>190202</xdr:colOff>
      <xdr:row>3</xdr:row>
      <xdr:rowOff>123453</xdr:rowOff>
    </xdr:to>
    <xdr:grpSp>
      <xdr:nvGrpSpPr>
        <xdr:cNvPr id="16" name="グループ化 19">
          <a:hlinkClick xmlns:r="http://schemas.openxmlformats.org/officeDocument/2006/relationships" r:id="rId1"/>
          <a:extLst>
            <a:ext uri="{FF2B5EF4-FFF2-40B4-BE49-F238E27FC236}">
              <a16:creationId xmlns:a16="http://schemas.microsoft.com/office/drawing/2014/main" id="{00000000-0008-0000-1A00-000010000000}"/>
            </a:ext>
          </a:extLst>
        </xdr:cNvPr>
        <xdr:cNvGrpSpPr>
          <a:grpSpLocks/>
        </xdr:cNvGrpSpPr>
      </xdr:nvGrpSpPr>
      <xdr:grpSpPr bwMode="auto">
        <a:xfrm>
          <a:off x="7010400" y="0"/>
          <a:ext cx="1561802" cy="733053"/>
          <a:chOff x="7896221" y="0"/>
          <a:chExt cx="1566617" cy="781050"/>
        </a:xfrm>
      </xdr:grpSpPr>
      <xdr:sp macro="" textlink="">
        <xdr:nvSpPr>
          <xdr:cNvPr id="17" name="円/楕円 112">
            <a:extLst>
              <a:ext uri="{FF2B5EF4-FFF2-40B4-BE49-F238E27FC236}">
                <a16:creationId xmlns:a16="http://schemas.microsoft.com/office/drawing/2014/main" id="{00000000-0008-0000-1A00-00001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xdr:colOff>
          <xdr:row>13</xdr:row>
          <xdr:rowOff>209550</xdr:rowOff>
        </xdr:from>
        <xdr:to>
          <xdr:col>14</xdr:col>
          <xdr:colOff>381000</xdr:colOff>
          <xdr:row>15</xdr:row>
          <xdr:rowOff>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C00-00000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16</xdr:row>
          <xdr:rowOff>19050</xdr:rowOff>
        </xdr:from>
        <xdr:to>
          <xdr:col>14</xdr:col>
          <xdr:colOff>381000</xdr:colOff>
          <xdr:row>17</xdr:row>
          <xdr:rowOff>38100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C00-00000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17</xdr:row>
          <xdr:rowOff>19050</xdr:rowOff>
        </xdr:from>
        <xdr:to>
          <xdr:col>14</xdr:col>
          <xdr:colOff>381000</xdr:colOff>
          <xdr:row>18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1C00-00000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15</xdr:row>
          <xdr:rowOff>19050</xdr:rowOff>
        </xdr:from>
        <xdr:to>
          <xdr:col>14</xdr:col>
          <xdr:colOff>381000</xdr:colOff>
          <xdr:row>16</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1C00-00000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18</xdr:row>
          <xdr:rowOff>19050</xdr:rowOff>
        </xdr:from>
        <xdr:to>
          <xdr:col>14</xdr:col>
          <xdr:colOff>381000</xdr:colOff>
          <xdr:row>19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C00-00000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28</xdr:row>
          <xdr:rowOff>19050</xdr:rowOff>
        </xdr:from>
        <xdr:to>
          <xdr:col>14</xdr:col>
          <xdr:colOff>381000</xdr:colOff>
          <xdr:row>29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C00-00000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30</xdr:row>
          <xdr:rowOff>19050</xdr:rowOff>
        </xdr:from>
        <xdr:to>
          <xdr:col>14</xdr:col>
          <xdr:colOff>381000</xdr:colOff>
          <xdr:row>31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1C00-00000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32</xdr:row>
          <xdr:rowOff>19050</xdr:rowOff>
        </xdr:from>
        <xdr:to>
          <xdr:col>14</xdr:col>
          <xdr:colOff>381000</xdr:colOff>
          <xdr:row>33</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1C00-00000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33</xdr:row>
          <xdr:rowOff>19050</xdr:rowOff>
        </xdr:from>
        <xdr:to>
          <xdr:col>14</xdr:col>
          <xdr:colOff>381000</xdr:colOff>
          <xdr:row>34</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1C00-00000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36</xdr:row>
          <xdr:rowOff>19050</xdr:rowOff>
        </xdr:from>
        <xdr:to>
          <xdr:col>14</xdr:col>
          <xdr:colOff>381000</xdr:colOff>
          <xdr:row>37</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1C00-00000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37</xdr:row>
          <xdr:rowOff>0</xdr:rowOff>
        </xdr:from>
        <xdr:to>
          <xdr:col>14</xdr:col>
          <xdr:colOff>381000</xdr:colOff>
          <xdr:row>38</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1C00-00000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41</xdr:row>
          <xdr:rowOff>19050</xdr:rowOff>
        </xdr:from>
        <xdr:to>
          <xdr:col>14</xdr:col>
          <xdr:colOff>381000</xdr:colOff>
          <xdr:row>42</xdr:row>
          <xdr:rowOff>38100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1C00-00000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42</xdr:row>
          <xdr:rowOff>0</xdr:rowOff>
        </xdr:from>
        <xdr:to>
          <xdr:col>14</xdr:col>
          <xdr:colOff>381000</xdr:colOff>
          <xdr:row>43</xdr:row>
          <xdr:rowOff>19050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1C00-00000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xdr:row>
          <xdr:rowOff>161925</xdr:rowOff>
        </xdr:from>
        <xdr:to>
          <xdr:col>4</xdr:col>
          <xdr:colOff>76200</xdr:colOff>
          <xdr:row>14</xdr:row>
          <xdr:rowOff>38100</xdr:rowOff>
        </xdr:to>
        <xdr:sp macro="" textlink="">
          <xdr:nvSpPr>
            <xdr:cNvPr id="224257" name="Check Box 1" hidden="1">
              <a:extLst>
                <a:ext uri="{63B3BB69-23CF-44E3-9099-C40C66FF867C}">
                  <a14:compatExt spid="_x0000_s224257"/>
                </a:ext>
                <a:ext uri="{FF2B5EF4-FFF2-40B4-BE49-F238E27FC236}">
                  <a16:creationId xmlns:a16="http://schemas.microsoft.com/office/drawing/2014/main" id="{00000000-0008-0000-0900-00000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152400</xdr:rowOff>
        </xdr:from>
        <xdr:to>
          <xdr:col>4</xdr:col>
          <xdr:colOff>76200</xdr:colOff>
          <xdr:row>16</xdr:row>
          <xdr:rowOff>0</xdr:rowOff>
        </xdr:to>
        <xdr:sp macro="" textlink="">
          <xdr:nvSpPr>
            <xdr:cNvPr id="224258" name="Check Box 2" hidden="1">
              <a:extLst>
                <a:ext uri="{63B3BB69-23CF-44E3-9099-C40C66FF867C}">
                  <a14:compatExt spid="_x0000_s224258"/>
                </a:ext>
                <a:ext uri="{FF2B5EF4-FFF2-40B4-BE49-F238E27FC236}">
                  <a16:creationId xmlns:a16="http://schemas.microsoft.com/office/drawing/2014/main" id="{00000000-0008-0000-0900-00000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20</xdr:row>
          <xdr:rowOff>152400</xdr:rowOff>
        </xdr:from>
        <xdr:to>
          <xdr:col>2</xdr:col>
          <xdr:colOff>57150</xdr:colOff>
          <xdr:row>22</xdr:row>
          <xdr:rowOff>28575</xdr:rowOff>
        </xdr:to>
        <xdr:sp macro="" textlink="">
          <xdr:nvSpPr>
            <xdr:cNvPr id="224259" name="Check Box 3" hidden="1">
              <a:extLst>
                <a:ext uri="{63B3BB69-23CF-44E3-9099-C40C66FF867C}">
                  <a14:compatExt spid="_x0000_s224259"/>
                </a:ext>
                <a:ext uri="{FF2B5EF4-FFF2-40B4-BE49-F238E27FC236}">
                  <a16:creationId xmlns:a16="http://schemas.microsoft.com/office/drawing/2014/main" id="{00000000-0008-0000-0900-00000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21</xdr:row>
          <xdr:rowOff>142875</xdr:rowOff>
        </xdr:from>
        <xdr:to>
          <xdr:col>2</xdr:col>
          <xdr:colOff>57150</xdr:colOff>
          <xdr:row>23</xdr:row>
          <xdr:rowOff>19050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0900-00000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xdr:row>
          <xdr:rowOff>142875</xdr:rowOff>
        </xdr:from>
        <xdr:to>
          <xdr:col>9</xdr:col>
          <xdr:colOff>76200</xdr:colOff>
          <xdr:row>22</xdr:row>
          <xdr:rowOff>19050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0900-000005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21</xdr:row>
          <xdr:rowOff>142875</xdr:rowOff>
        </xdr:from>
        <xdr:to>
          <xdr:col>9</xdr:col>
          <xdr:colOff>76200</xdr:colOff>
          <xdr:row>23</xdr:row>
          <xdr:rowOff>19050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0900-000006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161925</xdr:rowOff>
        </xdr:from>
        <xdr:to>
          <xdr:col>12</xdr:col>
          <xdr:colOff>66675</xdr:colOff>
          <xdr:row>24</xdr:row>
          <xdr:rowOff>38100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0900-00000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23</xdr:row>
          <xdr:rowOff>152400</xdr:rowOff>
        </xdr:from>
        <xdr:to>
          <xdr:col>12</xdr:col>
          <xdr:colOff>76200</xdr:colOff>
          <xdr:row>25</xdr:row>
          <xdr:rowOff>28575</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0900-000008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161925</xdr:rowOff>
        </xdr:from>
        <xdr:to>
          <xdr:col>20</xdr:col>
          <xdr:colOff>66675</xdr:colOff>
          <xdr:row>25</xdr:row>
          <xdr:rowOff>38100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0900-00000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22</xdr:row>
          <xdr:rowOff>152400</xdr:rowOff>
        </xdr:from>
        <xdr:to>
          <xdr:col>28</xdr:col>
          <xdr:colOff>76200</xdr:colOff>
          <xdr:row>24</xdr:row>
          <xdr:rowOff>28575</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0900-00000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23</xdr:row>
          <xdr:rowOff>161925</xdr:rowOff>
        </xdr:from>
        <xdr:to>
          <xdr:col>28</xdr:col>
          <xdr:colOff>76200</xdr:colOff>
          <xdr:row>25</xdr:row>
          <xdr:rowOff>38100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0900-00000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142875</xdr:rowOff>
        </xdr:from>
        <xdr:to>
          <xdr:col>12</xdr:col>
          <xdr:colOff>76200</xdr:colOff>
          <xdr:row>27</xdr:row>
          <xdr:rowOff>19050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0900-00000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161925</xdr:rowOff>
        </xdr:from>
        <xdr:to>
          <xdr:col>2</xdr:col>
          <xdr:colOff>66675</xdr:colOff>
          <xdr:row>28</xdr:row>
          <xdr:rowOff>38100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0900-00000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152400</xdr:rowOff>
        </xdr:from>
        <xdr:to>
          <xdr:col>2</xdr:col>
          <xdr:colOff>66675</xdr:colOff>
          <xdr:row>29</xdr:row>
          <xdr:rowOff>28575</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0900-00000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152400</xdr:rowOff>
        </xdr:from>
        <xdr:to>
          <xdr:col>2</xdr:col>
          <xdr:colOff>66675</xdr:colOff>
          <xdr:row>33</xdr:row>
          <xdr:rowOff>28575</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0900-00000F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152400</xdr:rowOff>
        </xdr:from>
        <xdr:to>
          <xdr:col>2</xdr:col>
          <xdr:colOff>66675</xdr:colOff>
          <xdr:row>32</xdr:row>
          <xdr:rowOff>28575</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0900-00001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152400</xdr:rowOff>
        </xdr:from>
        <xdr:to>
          <xdr:col>3</xdr:col>
          <xdr:colOff>66675</xdr:colOff>
          <xdr:row>34</xdr:row>
          <xdr:rowOff>28575</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0900-00001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32</xdr:row>
          <xdr:rowOff>152400</xdr:rowOff>
        </xdr:from>
        <xdr:to>
          <xdr:col>20</xdr:col>
          <xdr:colOff>66675</xdr:colOff>
          <xdr:row>34</xdr:row>
          <xdr:rowOff>28575</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0900-00001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32</xdr:row>
          <xdr:rowOff>152400</xdr:rowOff>
        </xdr:from>
        <xdr:to>
          <xdr:col>37</xdr:col>
          <xdr:colOff>66675</xdr:colOff>
          <xdr:row>34</xdr:row>
          <xdr:rowOff>28575</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0900-00001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29</xdr:row>
          <xdr:rowOff>152400</xdr:rowOff>
        </xdr:from>
        <xdr:to>
          <xdr:col>37</xdr:col>
          <xdr:colOff>66675</xdr:colOff>
          <xdr:row>31</xdr:row>
          <xdr:rowOff>28575</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0900-00001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22</xdr:row>
          <xdr:rowOff>152400</xdr:rowOff>
        </xdr:from>
        <xdr:to>
          <xdr:col>37</xdr:col>
          <xdr:colOff>66675</xdr:colOff>
          <xdr:row>24</xdr:row>
          <xdr:rowOff>28575</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0900-000015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25</xdr:row>
          <xdr:rowOff>152400</xdr:rowOff>
        </xdr:from>
        <xdr:to>
          <xdr:col>38</xdr:col>
          <xdr:colOff>66675</xdr:colOff>
          <xdr:row>27</xdr:row>
          <xdr:rowOff>28575</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0900-000016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25</xdr:row>
          <xdr:rowOff>152400</xdr:rowOff>
        </xdr:from>
        <xdr:to>
          <xdr:col>41</xdr:col>
          <xdr:colOff>66675</xdr:colOff>
          <xdr:row>27</xdr:row>
          <xdr:rowOff>28575</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0900-00001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25</xdr:row>
          <xdr:rowOff>152400</xdr:rowOff>
        </xdr:from>
        <xdr:to>
          <xdr:col>44</xdr:col>
          <xdr:colOff>66675</xdr:colOff>
          <xdr:row>27</xdr:row>
          <xdr:rowOff>28575</xdr:rowOff>
        </xdr:to>
        <xdr:sp macro="" textlink="">
          <xdr:nvSpPr>
            <xdr:cNvPr id="224280" name="Check Box 24" hidden="1">
              <a:extLst>
                <a:ext uri="{63B3BB69-23CF-44E3-9099-C40C66FF867C}">
                  <a14:compatExt spid="_x0000_s224280"/>
                </a:ext>
                <a:ext uri="{FF2B5EF4-FFF2-40B4-BE49-F238E27FC236}">
                  <a16:creationId xmlns:a16="http://schemas.microsoft.com/office/drawing/2014/main" id="{00000000-0008-0000-0900-000018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25</xdr:row>
          <xdr:rowOff>152400</xdr:rowOff>
        </xdr:from>
        <xdr:to>
          <xdr:col>47</xdr:col>
          <xdr:colOff>66675</xdr:colOff>
          <xdr:row>27</xdr:row>
          <xdr:rowOff>28575</xdr:rowOff>
        </xdr:to>
        <xdr:sp macro="" textlink="">
          <xdr:nvSpPr>
            <xdr:cNvPr id="224281" name="Check Box 25" hidden="1">
              <a:extLst>
                <a:ext uri="{63B3BB69-23CF-44E3-9099-C40C66FF867C}">
                  <a14:compatExt spid="_x0000_s224281"/>
                </a:ext>
                <a:ext uri="{FF2B5EF4-FFF2-40B4-BE49-F238E27FC236}">
                  <a16:creationId xmlns:a16="http://schemas.microsoft.com/office/drawing/2014/main" id="{00000000-0008-0000-0900-00001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55</xdr:row>
          <xdr:rowOff>152400</xdr:rowOff>
        </xdr:from>
        <xdr:to>
          <xdr:col>45</xdr:col>
          <xdr:colOff>66675</xdr:colOff>
          <xdr:row>57</xdr:row>
          <xdr:rowOff>28575</xdr:rowOff>
        </xdr:to>
        <xdr:sp macro="" textlink="">
          <xdr:nvSpPr>
            <xdr:cNvPr id="224282" name="Check Box 26" hidden="1">
              <a:extLst>
                <a:ext uri="{63B3BB69-23CF-44E3-9099-C40C66FF867C}">
                  <a14:compatExt spid="_x0000_s224282"/>
                </a:ext>
                <a:ext uri="{FF2B5EF4-FFF2-40B4-BE49-F238E27FC236}">
                  <a16:creationId xmlns:a16="http://schemas.microsoft.com/office/drawing/2014/main" id="{00000000-0008-0000-0900-00001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55</xdr:row>
          <xdr:rowOff>152400</xdr:rowOff>
        </xdr:from>
        <xdr:to>
          <xdr:col>35</xdr:col>
          <xdr:colOff>66675</xdr:colOff>
          <xdr:row>57</xdr:row>
          <xdr:rowOff>28575</xdr:rowOff>
        </xdr:to>
        <xdr:sp macro="" textlink="">
          <xdr:nvSpPr>
            <xdr:cNvPr id="224283" name="Check Box 27" hidden="1">
              <a:extLst>
                <a:ext uri="{63B3BB69-23CF-44E3-9099-C40C66FF867C}">
                  <a14:compatExt spid="_x0000_s224283"/>
                </a:ext>
                <a:ext uri="{FF2B5EF4-FFF2-40B4-BE49-F238E27FC236}">
                  <a16:creationId xmlns:a16="http://schemas.microsoft.com/office/drawing/2014/main" id="{00000000-0008-0000-0900-00001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54</xdr:row>
          <xdr:rowOff>276225</xdr:rowOff>
        </xdr:from>
        <xdr:to>
          <xdr:col>24</xdr:col>
          <xdr:colOff>66675</xdr:colOff>
          <xdr:row>56</xdr:row>
          <xdr:rowOff>28575</xdr:rowOff>
        </xdr:to>
        <xdr:sp macro="" textlink="">
          <xdr:nvSpPr>
            <xdr:cNvPr id="224284" name="Check Box 28" hidden="1">
              <a:extLst>
                <a:ext uri="{63B3BB69-23CF-44E3-9099-C40C66FF867C}">
                  <a14:compatExt spid="_x0000_s224284"/>
                </a:ext>
                <a:ext uri="{FF2B5EF4-FFF2-40B4-BE49-F238E27FC236}">
                  <a16:creationId xmlns:a16="http://schemas.microsoft.com/office/drawing/2014/main" id="{00000000-0008-0000-0900-00001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152400</xdr:rowOff>
        </xdr:from>
        <xdr:to>
          <xdr:col>25</xdr:col>
          <xdr:colOff>66675</xdr:colOff>
          <xdr:row>57</xdr:row>
          <xdr:rowOff>28575</xdr:rowOff>
        </xdr:to>
        <xdr:sp macro="" textlink="">
          <xdr:nvSpPr>
            <xdr:cNvPr id="224285" name="Check Box 29" hidden="1">
              <a:extLst>
                <a:ext uri="{63B3BB69-23CF-44E3-9099-C40C66FF867C}">
                  <a14:compatExt spid="_x0000_s224285"/>
                </a:ext>
                <a:ext uri="{FF2B5EF4-FFF2-40B4-BE49-F238E27FC236}">
                  <a16:creationId xmlns:a16="http://schemas.microsoft.com/office/drawing/2014/main" id="{00000000-0008-0000-0900-00001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152400</xdr:rowOff>
        </xdr:from>
        <xdr:to>
          <xdr:col>24</xdr:col>
          <xdr:colOff>66675</xdr:colOff>
          <xdr:row>61</xdr:row>
          <xdr:rowOff>28575</xdr:rowOff>
        </xdr:to>
        <xdr:sp macro="" textlink="">
          <xdr:nvSpPr>
            <xdr:cNvPr id="224286" name="Check Box 30" hidden="1">
              <a:extLst>
                <a:ext uri="{63B3BB69-23CF-44E3-9099-C40C66FF867C}">
                  <a14:compatExt spid="_x0000_s224286"/>
                </a:ext>
                <a:ext uri="{FF2B5EF4-FFF2-40B4-BE49-F238E27FC236}">
                  <a16:creationId xmlns:a16="http://schemas.microsoft.com/office/drawing/2014/main" id="{00000000-0008-0000-0900-00001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152400</xdr:rowOff>
        </xdr:from>
        <xdr:to>
          <xdr:col>25</xdr:col>
          <xdr:colOff>66675</xdr:colOff>
          <xdr:row>62</xdr:row>
          <xdr:rowOff>28575</xdr:rowOff>
        </xdr:to>
        <xdr:sp macro="" textlink="">
          <xdr:nvSpPr>
            <xdr:cNvPr id="224287" name="Check Box 31" hidden="1">
              <a:extLst>
                <a:ext uri="{63B3BB69-23CF-44E3-9099-C40C66FF867C}">
                  <a14:compatExt spid="_x0000_s224287"/>
                </a:ext>
                <a:ext uri="{FF2B5EF4-FFF2-40B4-BE49-F238E27FC236}">
                  <a16:creationId xmlns:a16="http://schemas.microsoft.com/office/drawing/2014/main" id="{00000000-0008-0000-0900-00001F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152400</xdr:rowOff>
        </xdr:from>
        <xdr:to>
          <xdr:col>26</xdr:col>
          <xdr:colOff>66675</xdr:colOff>
          <xdr:row>64</xdr:row>
          <xdr:rowOff>28575</xdr:rowOff>
        </xdr:to>
        <xdr:sp macro="" textlink="">
          <xdr:nvSpPr>
            <xdr:cNvPr id="224288" name="Check Box 32" hidden="1">
              <a:extLst>
                <a:ext uri="{63B3BB69-23CF-44E3-9099-C40C66FF867C}">
                  <a14:compatExt spid="_x0000_s224288"/>
                </a:ext>
                <a:ext uri="{FF2B5EF4-FFF2-40B4-BE49-F238E27FC236}">
                  <a16:creationId xmlns:a16="http://schemas.microsoft.com/office/drawing/2014/main" id="{00000000-0008-0000-0900-00002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152400</xdr:rowOff>
        </xdr:from>
        <xdr:to>
          <xdr:col>26</xdr:col>
          <xdr:colOff>66675</xdr:colOff>
          <xdr:row>66</xdr:row>
          <xdr:rowOff>28575</xdr:rowOff>
        </xdr:to>
        <xdr:sp macro="" textlink="">
          <xdr:nvSpPr>
            <xdr:cNvPr id="224289" name="Check Box 33" hidden="1">
              <a:extLst>
                <a:ext uri="{63B3BB69-23CF-44E3-9099-C40C66FF867C}">
                  <a14:compatExt spid="_x0000_s224289"/>
                </a:ext>
                <a:ext uri="{FF2B5EF4-FFF2-40B4-BE49-F238E27FC236}">
                  <a16:creationId xmlns:a16="http://schemas.microsoft.com/office/drawing/2014/main" id="{00000000-0008-0000-0900-00002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152400</xdr:rowOff>
        </xdr:from>
        <xdr:to>
          <xdr:col>25</xdr:col>
          <xdr:colOff>66675</xdr:colOff>
          <xdr:row>65</xdr:row>
          <xdr:rowOff>28575</xdr:rowOff>
        </xdr:to>
        <xdr:sp macro="" textlink="">
          <xdr:nvSpPr>
            <xdr:cNvPr id="224290" name="Check Box 34" hidden="1">
              <a:extLst>
                <a:ext uri="{63B3BB69-23CF-44E3-9099-C40C66FF867C}">
                  <a14:compatExt spid="_x0000_s224290"/>
                </a:ext>
                <a:ext uri="{FF2B5EF4-FFF2-40B4-BE49-F238E27FC236}">
                  <a16:creationId xmlns:a16="http://schemas.microsoft.com/office/drawing/2014/main" id="{00000000-0008-0000-0900-00002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152400</xdr:rowOff>
        </xdr:from>
        <xdr:to>
          <xdr:col>25</xdr:col>
          <xdr:colOff>66675</xdr:colOff>
          <xdr:row>67</xdr:row>
          <xdr:rowOff>28575</xdr:rowOff>
        </xdr:to>
        <xdr:sp macro="" textlink="">
          <xdr:nvSpPr>
            <xdr:cNvPr id="224291" name="Check Box 35" hidden="1">
              <a:extLst>
                <a:ext uri="{63B3BB69-23CF-44E3-9099-C40C66FF867C}">
                  <a14:compatExt spid="_x0000_s224291"/>
                </a:ext>
                <a:ext uri="{FF2B5EF4-FFF2-40B4-BE49-F238E27FC236}">
                  <a16:creationId xmlns:a16="http://schemas.microsoft.com/office/drawing/2014/main" id="{00000000-0008-0000-0900-00002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70</xdr:row>
          <xdr:rowOff>152400</xdr:rowOff>
        </xdr:from>
        <xdr:to>
          <xdr:col>35</xdr:col>
          <xdr:colOff>66675</xdr:colOff>
          <xdr:row>72</xdr:row>
          <xdr:rowOff>28575</xdr:rowOff>
        </xdr:to>
        <xdr:sp macro="" textlink="">
          <xdr:nvSpPr>
            <xdr:cNvPr id="224292" name="Check Box 36" hidden="1">
              <a:extLst>
                <a:ext uri="{63B3BB69-23CF-44E3-9099-C40C66FF867C}">
                  <a14:compatExt spid="_x0000_s224292"/>
                </a:ext>
                <a:ext uri="{FF2B5EF4-FFF2-40B4-BE49-F238E27FC236}">
                  <a16:creationId xmlns:a16="http://schemas.microsoft.com/office/drawing/2014/main" id="{00000000-0008-0000-0900-00002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152400</xdr:rowOff>
        </xdr:from>
        <xdr:to>
          <xdr:col>24</xdr:col>
          <xdr:colOff>66675</xdr:colOff>
          <xdr:row>72</xdr:row>
          <xdr:rowOff>28575</xdr:rowOff>
        </xdr:to>
        <xdr:sp macro="" textlink="">
          <xdr:nvSpPr>
            <xdr:cNvPr id="224293" name="Check Box 37" hidden="1">
              <a:extLst>
                <a:ext uri="{63B3BB69-23CF-44E3-9099-C40C66FF867C}">
                  <a14:compatExt spid="_x0000_s224293"/>
                </a:ext>
                <a:ext uri="{FF2B5EF4-FFF2-40B4-BE49-F238E27FC236}">
                  <a16:creationId xmlns:a16="http://schemas.microsoft.com/office/drawing/2014/main" id="{00000000-0008-0000-0900-000025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152400</xdr:rowOff>
        </xdr:from>
        <xdr:to>
          <xdr:col>14</xdr:col>
          <xdr:colOff>66675</xdr:colOff>
          <xdr:row>72</xdr:row>
          <xdr:rowOff>28575</xdr:rowOff>
        </xdr:to>
        <xdr:sp macro="" textlink="">
          <xdr:nvSpPr>
            <xdr:cNvPr id="224294" name="Check Box 38" hidden="1">
              <a:extLst>
                <a:ext uri="{63B3BB69-23CF-44E3-9099-C40C66FF867C}">
                  <a14:compatExt spid="_x0000_s224294"/>
                </a:ext>
                <a:ext uri="{FF2B5EF4-FFF2-40B4-BE49-F238E27FC236}">
                  <a16:creationId xmlns:a16="http://schemas.microsoft.com/office/drawing/2014/main" id="{00000000-0008-0000-0900-000026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152400</xdr:rowOff>
        </xdr:from>
        <xdr:to>
          <xdr:col>1</xdr:col>
          <xdr:colOff>66675</xdr:colOff>
          <xdr:row>72</xdr:row>
          <xdr:rowOff>28575</xdr:rowOff>
        </xdr:to>
        <xdr:sp macro="" textlink="">
          <xdr:nvSpPr>
            <xdr:cNvPr id="224295" name="Check Box 39" hidden="1">
              <a:extLst>
                <a:ext uri="{63B3BB69-23CF-44E3-9099-C40C66FF867C}">
                  <a14:compatExt spid="_x0000_s224295"/>
                </a:ext>
                <a:ext uri="{FF2B5EF4-FFF2-40B4-BE49-F238E27FC236}">
                  <a16:creationId xmlns:a16="http://schemas.microsoft.com/office/drawing/2014/main" id="{00000000-0008-0000-0900-00002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1</xdr:col>
          <xdr:colOff>66675</xdr:colOff>
          <xdr:row>69</xdr:row>
          <xdr:rowOff>28575</xdr:rowOff>
        </xdr:to>
        <xdr:sp macro="" textlink="">
          <xdr:nvSpPr>
            <xdr:cNvPr id="224296" name="Check Box 40" hidden="1">
              <a:extLst>
                <a:ext uri="{63B3BB69-23CF-44E3-9099-C40C66FF867C}">
                  <a14:compatExt spid="_x0000_s224296"/>
                </a:ext>
                <a:ext uri="{FF2B5EF4-FFF2-40B4-BE49-F238E27FC236}">
                  <a16:creationId xmlns:a16="http://schemas.microsoft.com/office/drawing/2014/main" id="{00000000-0008-0000-0900-000028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276225</xdr:rowOff>
        </xdr:from>
        <xdr:to>
          <xdr:col>1</xdr:col>
          <xdr:colOff>66675</xdr:colOff>
          <xdr:row>56</xdr:row>
          <xdr:rowOff>28575</xdr:rowOff>
        </xdr:to>
        <xdr:sp macro="" textlink="">
          <xdr:nvSpPr>
            <xdr:cNvPr id="224297" name="Check Box 41" hidden="1">
              <a:extLst>
                <a:ext uri="{63B3BB69-23CF-44E3-9099-C40C66FF867C}">
                  <a14:compatExt spid="_x0000_s224297"/>
                </a:ext>
                <a:ext uri="{FF2B5EF4-FFF2-40B4-BE49-F238E27FC236}">
                  <a16:creationId xmlns:a16="http://schemas.microsoft.com/office/drawing/2014/main" id="{00000000-0008-0000-0900-00002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152400</xdr:rowOff>
        </xdr:from>
        <xdr:to>
          <xdr:col>2</xdr:col>
          <xdr:colOff>66675</xdr:colOff>
          <xdr:row>57</xdr:row>
          <xdr:rowOff>28575</xdr:rowOff>
        </xdr:to>
        <xdr:sp macro="" textlink="">
          <xdr:nvSpPr>
            <xdr:cNvPr id="224298" name="Check Box 42" hidden="1">
              <a:extLst>
                <a:ext uri="{63B3BB69-23CF-44E3-9099-C40C66FF867C}">
                  <a14:compatExt spid="_x0000_s224298"/>
                </a:ext>
                <a:ext uri="{FF2B5EF4-FFF2-40B4-BE49-F238E27FC236}">
                  <a16:creationId xmlns:a16="http://schemas.microsoft.com/office/drawing/2014/main" id="{00000000-0008-0000-0900-00002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152400</xdr:rowOff>
        </xdr:from>
        <xdr:to>
          <xdr:col>3</xdr:col>
          <xdr:colOff>66675</xdr:colOff>
          <xdr:row>59</xdr:row>
          <xdr:rowOff>28575</xdr:rowOff>
        </xdr:to>
        <xdr:sp macro="" textlink="">
          <xdr:nvSpPr>
            <xdr:cNvPr id="224299" name="Check Box 43" hidden="1">
              <a:extLst>
                <a:ext uri="{63B3BB69-23CF-44E3-9099-C40C66FF867C}">
                  <a14:compatExt spid="_x0000_s224299"/>
                </a:ext>
                <a:ext uri="{FF2B5EF4-FFF2-40B4-BE49-F238E27FC236}">
                  <a16:creationId xmlns:a16="http://schemas.microsoft.com/office/drawing/2014/main" id="{00000000-0008-0000-0900-00002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58</xdr:row>
          <xdr:rowOff>152400</xdr:rowOff>
        </xdr:from>
        <xdr:to>
          <xdr:col>7</xdr:col>
          <xdr:colOff>66675</xdr:colOff>
          <xdr:row>60</xdr:row>
          <xdr:rowOff>28575</xdr:rowOff>
        </xdr:to>
        <xdr:sp macro="" textlink="">
          <xdr:nvSpPr>
            <xdr:cNvPr id="224300" name="Check Box 44" hidden="1">
              <a:extLst>
                <a:ext uri="{63B3BB69-23CF-44E3-9099-C40C66FF867C}">
                  <a14:compatExt spid="_x0000_s224300"/>
                </a:ext>
                <a:ext uri="{FF2B5EF4-FFF2-40B4-BE49-F238E27FC236}">
                  <a16:creationId xmlns:a16="http://schemas.microsoft.com/office/drawing/2014/main" id="{00000000-0008-0000-0900-00002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56</xdr:row>
          <xdr:rowOff>152400</xdr:rowOff>
        </xdr:from>
        <xdr:to>
          <xdr:col>15</xdr:col>
          <xdr:colOff>66675</xdr:colOff>
          <xdr:row>58</xdr:row>
          <xdr:rowOff>28575</xdr:rowOff>
        </xdr:to>
        <xdr:sp macro="" textlink="">
          <xdr:nvSpPr>
            <xdr:cNvPr id="224301" name="Check Box 45" hidden="1">
              <a:extLst>
                <a:ext uri="{63B3BB69-23CF-44E3-9099-C40C66FF867C}">
                  <a14:compatExt spid="_x0000_s224301"/>
                </a:ext>
                <a:ext uri="{FF2B5EF4-FFF2-40B4-BE49-F238E27FC236}">
                  <a16:creationId xmlns:a16="http://schemas.microsoft.com/office/drawing/2014/main" id="{00000000-0008-0000-0900-00002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152400</xdr:rowOff>
        </xdr:from>
        <xdr:to>
          <xdr:col>2</xdr:col>
          <xdr:colOff>66675</xdr:colOff>
          <xdr:row>58</xdr:row>
          <xdr:rowOff>28575</xdr:rowOff>
        </xdr:to>
        <xdr:sp macro="" textlink="">
          <xdr:nvSpPr>
            <xdr:cNvPr id="224302" name="Check Box 46" hidden="1">
              <a:extLst>
                <a:ext uri="{63B3BB69-23CF-44E3-9099-C40C66FF867C}">
                  <a14:compatExt spid="_x0000_s224302"/>
                </a:ext>
                <a:ext uri="{FF2B5EF4-FFF2-40B4-BE49-F238E27FC236}">
                  <a16:creationId xmlns:a16="http://schemas.microsoft.com/office/drawing/2014/main" id="{00000000-0008-0000-0900-00002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56</xdr:row>
          <xdr:rowOff>133350</xdr:rowOff>
        </xdr:from>
        <xdr:to>
          <xdr:col>45</xdr:col>
          <xdr:colOff>76200</xdr:colOff>
          <xdr:row>58</xdr:row>
          <xdr:rowOff>9525</xdr:rowOff>
        </xdr:to>
        <xdr:sp macro="" textlink="">
          <xdr:nvSpPr>
            <xdr:cNvPr id="224303" name="Check Box 47" hidden="1">
              <a:extLst>
                <a:ext uri="{63B3BB69-23CF-44E3-9099-C40C66FF867C}">
                  <a14:compatExt spid="_x0000_s224303"/>
                </a:ext>
                <a:ext uri="{FF2B5EF4-FFF2-40B4-BE49-F238E27FC236}">
                  <a16:creationId xmlns:a16="http://schemas.microsoft.com/office/drawing/2014/main" id="{00000000-0008-0000-0900-00002F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56</xdr:row>
          <xdr:rowOff>161925</xdr:rowOff>
        </xdr:from>
        <xdr:to>
          <xdr:col>35</xdr:col>
          <xdr:colOff>76200</xdr:colOff>
          <xdr:row>58</xdr:row>
          <xdr:rowOff>38100</xdr:rowOff>
        </xdr:to>
        <xdr:sp macro="" textlink="">
          <xdr:nvSpPr>
            <xdr:cNvPr id="224304" name="Check Box 48" hidden="1">
              <a:extLst>
                <a:ext uri="{63B3BB69-23CF-44E3-9099-C40C66FF867C}">
                  <a14:compatExt spid="_x0000_s224304"/>
                </a:ext>
                <a:ext uri="{FF2B5EF4-FFF2-40B4-BE49-F238E27FC236}">
                  <a16:creationId xmlns:a16="http://schemas.microsoft.com/office/drawing/2014/main" id="{00000000-0008-0000-0900-00003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152400</xdr:rowOff>
        </xdr:from>
        <xdr:to>
          <xdr:col>7</xdr:col>
          <xdr:colOff>66675</xdr:colOff>
          <xdr:row>61</xdr:row>
          <xdr:rowOff>28575</xdr:rowOff>
        </xdr:to>
        <xdr:sp macro="" textlink="">
          <xdr:nvSpPr>
            <xdr:cNvPr id="224305" name="Check Box 49" hidden="1">
              <a:extLst>
                <a:ext uri="{63B3BB69-23CF-44E3-9099-C40C66FF867C}">
                  <a14:compatExt spid="_x0000_s224305"/>
                </a:ext>
                <a:ext uri="{FF2B5EF4-FFF2-40B4-BE49-F238E27FC236}">
                  <a16:creationId xmlns:a16="http://schemas.microsoft.com/office/drawing/2014/main" id="{00000000-0008-0000-0900-00003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142875</xdr:rowOff>
        </xdr:from>
        <xdr:to>
          <xdr:col>3</xdr:col>
          <xdr:colOff>66675</xdr:colOff>
          <xdr:row>60</xdr:row>
          <xdr:rowOff>19050</xdr:rowOff>
        </xdr:to>
        <xdr:sp macro="" textlink="">
          <xdr:nvSpPr>
            <xdr:cNvPr id="224306" name="Check Box 50" hidden="1">
              <a:extLst>
                <a:ext uri="{63B3BB69-23CF-44E3-9099-C40C66FF867C}">
                  <a14:compatExt spid="_x0000_s224306"/>
                </a:ext>
                <a:ext uri="{FF2B5EF4-FFF2-40B4-BE49-F238E27FC236}">
                  <a16:creationId xmlns:a16="http://schemas.microsoft.com/office/drawing/2014/main" id="{00000000-0008-0000-0900-00003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56</xdr:row>
          <xdr:rowOff>152400</xdr:rowOff>
        </xdr:from>
        <xdr:to>
          <xdr:col>25</xdr:col>
          <xdr:colOff>76200</xdr:colOff>
          <xdr:row>58</xdr:row>
          <xdr:rowOff>28575</xdr:rowOff>
        </xdr:to>
        <xdr:sp macro="" textlink="">
          <xdr:nvSpPr>
            <xdr:cNvPr id="224307" name="Check Box 51" hidden="1">
              <a:extLst>
                <a:ext uri="{63B3BB69-23CF-44E3-9099-C40C66FF867C}">
                  <a14:compatExt spid="_x0000_s224307"/>
                </a:ext>
                <a:ext uri="{FF2B5EF4-FFF2-40B4-BE49-F238E27FC236}">
                  <a16:creationId xmlns:a16="http://schemas.microsoft.com/office/drawing/2014/main" id="{00000000-0008-0000-0900-00003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57</xdr:row>
          <xdr:rowOff>152400</xdr:rowOff>
        </xdr:from>
        <xdr:to>
          <xdr:col>25</xdr:col>
          <xdr:colOff>85725</xdr:colOff>
          <xdr:row>59</xdr:row>
          <xdr:rowOff>28575</xdr:rowOff>
        </xdr:to>
        <xdr:sp macro="" textlink="">
          <xdr:nvSpPr>
            <xdr:cNvPr id="224308" name="Check Box 52" hidden="1">
              <a:extLst>
                <a:ext uri="{63B3BB69-23CF-44E3-9099-C40C66FF867C}">
                  <a14:compatExt spid="_x0000_s224308"/>
                </a:ext>
                <a:ext uri="{FF2B5EF4-FFF2-40B4-BE49-F238E27FC236}">
                  <a16:creationId xmlns:a16="http://schemas.microsoft.com/office/drawing/2014/main" id="{00000000-0008-0000-0900-00003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161925</xdr:rowOff>
        </xdr:from>
        <xdr:to>
          <xdr:col>24</xdr:col>
          <xdr:colOff>66675</xdr:colOff>
          <xdr:row>73</xdr:row>
          <xdr:rowOff>38100</xdr:rowOff>
        </xdr:to>
        <xdr:sp macro="" textlink="">
          <xdr:nvSpPr>
            <xdr:cNvPr id="224309" name="Check Box 53" hidden="1">
              <a:extLst>
                <a:ext uri="{63B3BB69-23CF-44E3-9099-C40C66FF867C}">
                  <a14:compatExt spid="_x0000_s224309"/>
                </a:ext>
                <a:ext uri="{FF2B5EF4-FFF2-40B4-BE49-F238E27FC236}">
                  <a16:creationId xmlns:a16="http://schemas.microsoft.com/office/drawing/2014/main" id="{00000000-0008-0000-0900-000035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152400</xdr:rowOff>
        </xdr:from>
        <xdr:to>
          <xdr:col>14</xdr:col>
          <xdr:colOff>66675</xdr:colOff>
          <xdr:row>73</xdr:row>
          <xdr:rowOff>28575</xdr:rowOff>
        </xdr:to>
        <xdr:sp macro="" textlink="">
          <xdr:nvSpPr>
            <xdr:cNvPr id="224310" name="Check Box 54" hidden="1">
              <a:extLst>
                <a:ext uri="{63B3BB69-23CF-44E3-9099-C40C66FF867C}">
                  <a14:compatExt spid="_x0000_s224310"/>
                </a:ext>
                <a:ext uri="{FF2B5EF4-FFF2-40B4-BE49-F238E27FC236}">
                  <a16:creationId xmlns:a16="http://schemas.microsoft.com/office/drawing/2014/main" id="{00000000-0008-0000-0900-000036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9525</xdr:rowOff>
        </xdr:from>
        <xdr:to>
          <xdr:col>1</xdr:col>
          <xdr:colOff>66675</xdr:colOff>
          <xdr:row>52</xdr:row>
          <xdr:rowOff>266700</xdr:rowOff>
        </xdr:to>
        <xdr:sp macro="" textlink="">
          <xdr:nvSpPr>
            <xdr:cNvPr id="224311" name="Check Box 55" hidden="1">
              <a:extLst>
                <a:ext uri="{63B3BB69-23CF-44E3-9099-C40C66FF867C}">
                  <a14:compatExt spid="_x0000_s224311"/>
                </a:ext>
                <a:ext uri="{FF2B5EF4-FFF2-40B4-BE49-F238E27FC236}">
                  <a16:creationId xmlns:a16="http://schemas.microsoft.com/office/drawing/2014/main" id="{00000000-0008-0000-0900-00003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9525</xdr:rowOff>
        </xdr:from>
        <xdr:to>
          <xdr:col>1</xdr:col>
          <xdr:colOff>66675</xdr:colOff>
          <xdr:row>51</xdr:row>
          <xdr:rowOff>266700</xdr:rowOff>
        </xdr:to>
        <xdr:sp macro="" textlink="">
          <xdr:nvSpPr>
            <xdr:cNvPr id="224312" name="Check Box 56" hidden="1">
              <a:extLst>
                <a:ext uri="{63B3BB69-23CF-44E3-9099-C40C66FF867C}">
                  <a14:compatExt spid="_x0000_s224312"/>
                </a:ext>
                <a:ext uri="{FF2B5EF4-FFF2-40B4-BE49-F238E27FC236}">
                  <a16:creationId xmlns:a16="http://schemas.microsoft.com/office/drawing/2014/main" id="{00000000-0008-0000-0900-000038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38100</xdr:rowOff>
        </xdr:from>
        <xdr:to>
          <xdr:col>1</xdr:col>
          <xdr:colOff>66675</xdr:colOff>
          <xdr:row>53</xdr:row>
          <xdr:rowOff>295275</xdr:rowOff>
        </xdr:to>
        <xdr:sp macro="" textlink="">
          <xdr:nvSpPr>
            <xdr:cNvPr id="224313" name="Check Box 57" hidden="1">
              <a:extLst>
                <a:ext uri="{63B3BB69-23CF-44E3-9099-C40C66FF867C}">
                  <a14:compatExt spid="_x0000_s224313"/>
                </a:ext>
                <a:ext uri="{FF2B5EF4-FFF2-40B4-BE49-F238E27FC236}">
                  <a16:creationId xmlns:a16="http://schemas.microsoft.com/office/drawing/2014/main" id="{00000000-0008-0000-0900-00003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xdr:rowOff>
        </xdr:from>
        <xdr:to>
          <xdr:col>1</xdr:col>
          <xdr:colOff>66675</xdr:colOff>
          <xdr:row>46</xdr:row>
          <xdr:rowOff>276225</xdr:rowOff>
        </xdr:to>
        <xdr:sp macro="" textlink="">
          <xdr:nvSpPr>
            <xdr:cNvPr id="224314" name="Check Box 58" hidden="1">
              <a:extLst>
                <a:ext uri="{63B3BB69-23CF-44E3-9099-C40C66FF867C}">
                  <a14:compatExt spid="_x0000_s224314"/>
                </a:ext>
                <a:ext uri="{FF2B5EF4-FFF2-40B4-BE49-F238E27FC236}">
                  <a16:creationId xmlns:a16="http://schemas.microsoft.com/office/drawing/2014/main" id="{00000000-0008-0000-0900-00003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28575</xdr:rowOff>
        </xdr:from>
        <xdr:to>
          <xdr:col>14</xdr:col>
          <xdr:colOff>66675</xdr:colOff>
          <xdr:row>46</xdr:row>
          <xdr:rowOff>285750</xdr:rowOff>
        </xdr:to>
        <xdr:sp macro="" textlink="">
          <xdr:nvSpPr>
            <xdr:cNvPr id="224315" name="Check Box 59" hidden="1">
              <a:extLst>
                <a:ext uri="{63B3BB69-23CF-44E3-9099-C40C66FF867C}">
                  <a14:compatExt spid="_x0000_s224315"/>
                </a:ext>
                <a:ext uri="{FF2B5EF4-FFF2-40B4-BE49-F238E27FC236}">
                  <a16:creationId xmlns:a16="http://schemas.microsoft.com/office/drawing/2014/main" id="{00000000-0008-0000-0900-00003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285750</xdr:rowOff>
        </xdr:from>
        <xdr:to>
          <xdr:col>15</xdr:col>
          <xdr:colOff>76200</xdr:colOff>
          <xdr:row>49</xdr:row>
          <xdr:rowOff>38100</xdr:rowOff>
        </xdr:to>
        <xdr:sp macro="" textlink="">
          <xdr:nvSpPr>
            <xdr:cNvPr id="224316" name="Check Box 60" hidden="1">
              <a:extLst>
                <a:ext uri="{63B3BB69-23CF-44E3-9099-C40C66FF867C}">
                  <a14:compatExt spid="_x0000_s224316"/>
                </a:ext>
                <a:ext uri="{FF2B5EF4-FFF2-40B4-BE49-F238E27FC236}">
                  <a16:creationId xmlns:a16="http://schemas.microsoft.com/office/drawing/2014/main" id="{00000000-0008-0000-0900-00003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266700</xdr:rowOff>
        </xdr:from>
        <xdr:to>
          <xdr:col>2</xdr:col>
          <xdr:colOff>76200</xdr:colOff>
          <xdr:row>49</xdr:row>
          <xdr:rowOff>19050</xdr:rowOff>
        </xdr:to>
        <xdr:sp macro="" textlink="">
          <xdr:nvSpPr>
            <xdr:cNvPr id="224317" name="Check Box 61" hidden="1">
              <a:extLst>
                <a:ext uri="{63B3BB69-23CF-44E3-9099-C40C66FF867C}">
                  <a14:compatExt spid="_x0000_s224317"/>
                </a:ext>
                <a:ext uri="{FF2B5EF4-FFF2-40B4-BE49-F238E27FC236}">
                  <a16:creationId xmlns:a16="http://schemas.microsoft.com/office/drawing/2014/main" id="{00000000-0008-0000-0900-00003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47</xdr:row>
          <xdr:rowOff>285750</xdr:rowOff>
        </xdr:from>
        <xdr:to>
          <xdr:col>25</xdr:col>
          <xdr:colOff>76200</xdr:colOff>
          <xdr:row>49</xdr:row>
          <xdr:rowOff>38100</xdr:rowOff>
        </xdr:to>
        <xdr:sp macro="" textlink="">
          <xdr:nvSpPr>
            <xdr:cNvPr id="224318" name="Check Box 62" hidden="1">
              <a:extLst>
                <a:ext uri="{63B3BB69-23CF-44E3-9099-C40C66FF867C}">
                  <a14:compatExt spid="_x0000_s224318"/>
                </a:ext>
                <a:ext uri="{FF2B5EF4-FFF2-40B4-BE49-F238E27FC236}">
                  <a16:creationId xmlns:a16="http://schemas.microsoft.com/office/drawing/2014/main" id="{00000000-0008-0000-0900-00003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47</xdr:row>
          <xdr:rowOff>285750</xdr:rowOff>
        </xdr:from>
        <xdr:to>
          <xdr:col>35</xdr:col>
          <xdr:colOff>76200</xdr:colOff>
          <xdr:row>49</xdr:row>
          <xdr:rowOff>38100</xdr:rowOff>
        </xdr:to>
        <xdr:sp macro="" textlink="">
          <xdr:nvSpPr>
            <xdr:cNvPr id="224319" name="Check Box 63" hidden="1">
              <a:extLst>
                <a:ext uri="{63B3BB69-23CF-44E3-9099-C40C66FF867C}">
                  <a14:compatExt spid="_x0000_s224319"/>
                </a:ext>
                <a:ext uri="{FF2B5EF4-FFF2-40B4-BE49-F238E27FC236}">
                  <a16:creationId xmlns:a16="http://schemas.microsoft.com/office/drawing/2014/main" id="{00000000-0008-0000-0900-00003F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47</xdr:row>
          <xdr:rowOff>285750</xdr:rowOff>
        </xdr:from>
        <xdr:to>
          <xdr:col>45</xdr:col>
          <xdr:colOff>76200</xdr:colOff>
          <xdr:row>49</xdr:row>
          <xdr:rowOff>38100</xdr:rowOff>
        </xdr:to>
        <xdr:sp macro="" textlink="">
          <xdr:nvSpPr>
            <xdr:cNvPr id="224320" name="Check Box 64" hidden="1">
              <a:extLst>
                <a:ext uri="{63B3BB69-23CF-44E3-9099-C40C66FF867C}">
                  <a14:compatExt spid="_x0000_s224320"/>
                </a:ext>
                <a:ext uri="{FF2B5EF4-FFF2-40B4-BE49-F238E27FC236}">
                  <a16:creationId xmlns:a16="http://schemas.microsoft.com/office/drawing/2014/main" id="{00000000-0008-0000-0900-00004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28575</xdr:colOff>
          <xdr:row>51</xdr:row>
          <xdr:rowOff>38100</xdr:rowOff>
        </xdr:from>
        <xdr:to>
          <xdr:col>44</xdr:col>
          <xdr:colOff>104775</xdr:colOff>
          <xdr:row>51</xdr:row>
          <xdr:rowOff>295275</xdr:rowOff>
        </xdr:to>
        <xdr:sp macro="" textlink="">
          <xdr:nvSpPr>
            <xdr:cNvPr id="224321" name="Check Box 65" hidden="1">
              <a:extLst>
                <a:ext uri="{63B3BB69-23CF-44E3-9099-C40C66FF867C}">
                  <a14:compatExt spid="_x0000_s224321"/>
                </a:ext>
                <a:ext uri="{FF2B5EF4-FFF2-40B4-BE49-F238E27FC236}">
                  <a16:creationId xmlns:a16="http://schemas.microsoft.com/office/drawing/2014/main" id="{00000000-0008-0000-0900-00004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28575</xdr:colOff>
          <xdr:row>52</xdr:row>
          <xdr:rowOff>9525</xdr:rowOff>
        </xdr:from>
        <xdr:to>
          <xdr:col>44</xdr:col>
          <xdr:colOff>95250</xdr:colOff>
          <xdr:row>52</xdr:row>
          <xdr:rowOff>266700</xdr:rowOff>
        </xdr:to>
        <xdr:sp macro="" textlink="">
          <xdr:nvSpPr>
            <xdr:cNvPr id="224322" name="Check Box 66" hidden="1">
              <a:extLst>
                <a:ext uri="{63B3BB69-23CF-44E3-9099-C40C66FF867C}">
                  <a14:compatExt spid="_x0000_s224322"/>
                </a:ext>
                <a:ext uri="{FF2B5EF4-FFF2-40B4-BE49-F238E27FC236}">
                  <a16:creationId xmlns:a16="http://schemas.microsoft.com/office/drawing/2014/main" id="{00000000-0008-0000-0900-00004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46</xdr:row>
          <xdr:rowOff>47625</xdr:rowOff>
        </xdr:from>
        <xdr:to>
          <xdr:col>44</xdr:col>
          <xdr:colOff>66675</xdr:colOff>
          <xdr:row>46</xdr:row>
          <xdr:rowOff>304800</xdr:rowOff>
        </xdr:to>
        <xdr:sp macro="" textlink="">
          <xdr:nvSpPr>
            <xdr:cNvPr id="224323" name="Check Box 67" hidden="1">
              <a:extLst>
                <a:ext uri="{63B3BB69-23CF-44E3-9099-C40C66FF867C}">
                  <a14:compatExt spid="_x0000_s224323"/>
                </a:ext>
                <a:ext uri="{FF2B5EF4-FFF2-40B4-BE49-F238E27FC236}">
                  <a16:creationId xmlns:a16="http://schemas.microsoft.com/office/drawing/2014/main" id="{00000000-0008-0000-0900-00004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38100</xdr:rowOff>
        </xdr:from>
        <xdr:to>
          <xdr:col>34</xdr:col>
          <xdr:colOff>66675</xdr:colOff>
          <xdr:row>46</xdr:row>
          <xdr:rowOff>295275</xdr:rowOff>
        </xdr:to>
        <xdr:sp macro="" textlink="">
          <xdr:nvSpPr>
            <xdr:cNvPr id="224324" name="Check Box 68" hidden="1">
              <a:extLst>
                <a:ext uri="{63B3BB69-23CF-44E3-9099-C40C66FF867C}">
                  <a14:compatExt spid="_x0000_s224324"/>
                </a:ext>
                <a:ext uri="{FF2B5EF4-FFF2-40B4-BE49-F238E27FC236}">
                  <a16:creationId xmlns:a16="http://schemas.microsoft.com/office/drawing/2014/main" id="{00000000-0008-0000-0900-00004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53</xdr:row>
          <xdr:rowOff>285750</xdr:rowOff>
        </xdr:from>
        <xdr:to>
          <xdr:col>34</xdr:col>
          <xdr:colOff>76200</xdr:colOff>
          <xdr:row>54</xdr:row>
          <xdr:rowOff>228600</xdr:rowOff>
        </xdr:to>
        <xdr:sp macro="" textlink="">
          <xdr:nvSpPr>
            <xdr:cNvPr id="224325" name="Check Box 69" hidden="1">
              <a:extLst>
                <a:ext uri="{63B3BB69-23CF-44E3-9099-C40C66FF867C}">
                  <a14:compatExt spid="_x0000_s224325"/>
                </a:ext>
                <a:ext uri="{FF2B5EF4-FFF2-40B4-BE49-F238E27FC236}">
                  <a16:creationId xmlns:a16="http://schemas.microsoft.com/office/drawing/2014/main" id="{00000000-0008-0000-0900-000045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52</xdr:row>
          <xdr:rowOff>285750</xdr:rowOff>
        </xdr:from>
        <xdr:to>
          <xdr:col>34</xdr:col>
          <xdr:colOff>76200</xdr:colOff>
          <xdr:row>53</xdr:row>
          <xdr:rowOff>228600</xdr:rowOff>
        </xdr:to>
        <xdr:sp macro="" textlink="">
          <xdr:nvSpPr>
            <xdr:cNvPr id="224326" name="Check Box 70" hidden="1">
              <a:extLst>
                <a:ext uri="{63B3BB69-23CF-44E3-9099-C40C66FF867C}">
                  <a14:compatExt spid="_x0000_s224326"/>
                </a:ext>
                <a:ext uri="{FF2B5EF4-FFF2-40B4-BE49-F238E27FC236}">
                  <a16:creationId xmlns:a16="http://schemas.microsoft.com/office/drawing/2014/main" id="{00000000-0008-0000-0900-000046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51</xdr:row>
          <xdr:rowOff>285750</xdr:rowOff>
        </xdr:from>
        <xdr:to>
          <xdr:col>34</xdr:col>
          <xdr:colOff>76200</xdr:colOff>
          <xdr:row>52</xdr:row>
          <xdr:rowOff>228600</xdr:rowOff>
        </xdr:to>
        <xdr:sp macro="" textlink="">
          <xdr:nvSpPr>
            <xdr:cNvPr id="224327" name="Check Box 71" hidden="1">
              <a:extLst>
                <a:ext uri="{63B3BB69-23CF-44E3-9099-C40C66FF867C}">
                  <a14:compatExt spid="_x0000_s224327"/>
                </a:ext>
                <a:ext uri="{FF2B5EF4-FFF2-40B4-BE49-F238E27FC236}">
                  <a16:creationId xmlns:a16="http://schemas.microsoft.com/office/drawing/2014/main" id="{00000000-0008-0000-0900-00004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50</xdr:row>
          <xdr:rowOff>285750</xdr:rowOff>
        </xdr:from>
        <xdr:to>
          <xdr:col>34</xdr:col>
          <xdr:colOff>76200</xdr:colOff>
          <xdr:row>51</xdr:row>
          <xdr:rowOff>228600</xdr:rowOff>
        </xdr:to>
        <xdr:sp macro="" textlink="">
          <xdr:nvSpPr>
            <xdr:cNvPr id="224328" name="Check Box 72" hidden="1">
              <a:extLst>
                <a:ext uri="{63B3BB69-23CF-44E3-9099-C40C66FF867C}">
                  <a14:compatExt spid="_x0000_s224328"/>
                </a:ext>
                <a:ext uri="{FF2B5EF4-FFF2-40B4-BE49-F238E27FC236}">
                  <a16:creationId xmlns:a16="http://schemas.microsoft.com/office/drawing/2014/main" id="{00000000-0008-0000-0900-000048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53</xdr:row>
          <xdr:rowOff>285750</xdr:rowOff>
        </xdr:from>
        <xdr:to>
          <xdr:col>14</xdr:col>
          <xdr:colOff>76200</xdr:colOff>
          <xdr:row>54</xdr:row>
          <xdr:rowOff>228600</xdr:rowOff>
        </xdr:to>
        <xdr:sp macro="" textlink="">
          <xdr:nvSpPr>
            <xdr:cNvPr id="224329" name="Check Box 73" hidden="1">
              <a:extLst>
                <a:ext uri="{63B3BB69-23CF-44E3-9099-C40C66FF867C}">
                  <a14:compatExt spid="_x0000_s224329"/>
                </a:ext>
                <a:ext uri="{FF2B5EF4-FFF2-40B4-BE49-F238E27FC236}">
                  <a16:creationId xmlns:a16="http://schemas.microsoft.com/office/drawing/2014/main" id="{00000000-0008-0000-0900-00004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52</xdr:row>
          <xdr:rowOff>285750</xdr:rowOff>
        </xdr:from>
        <xdr:to>
          <xdr:col>14</xdr:col>
          <xdr:colOff>76200</xdr:colOff>
          <xdr:row>53</xdr:row>
          <xdr:rowOff>228600</xdr:rowOff>
        </xdr:to>
        <xdr:sp macro="" textlink="">
          <xdr:nvSpPr>
            <xdr:cNvPr id="224330" name="Check Box 74" hidden="1">
              <a:extLst>
                <a:ext uri="{63B3BB69-23CF-44E3-9099-C40C66FF867C}">
                  <a14:compatExt spid="_x0000_s224330"/>
                </a:ext>
                <a:ext uri="{FF2B5EF4-FFF2-40B4-BE49-F238E27FC236}">
                  <a16:creationId xmlns:a16="http://schemas.microsoft.com/office/drawing/2014/main" id="{00000000-0008-0000-0900-00004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51</xdr:row>
          <xdr:rowOff>285750</xdr:rowOff>
        </xdr:from>
        <xdr:to>
          <xdr:col>14</xdr:col>
          <xdr:colOff>76200</xdr:colOff>
          <xdr:row>52</xdr:row>
          <xdr:rowOff>228600</xdr:rowOff>
        </xdr:to>
        <xdr:sp macro="" textlink="">
          <xdr:nvSpPr>
            <xdr:cNvPr id="224331" name="Check Box 75" hidden="1">
              <a:extLst>
                <a:ext uri="{63B3BB69-23CF-44E3-9099-C40C66FF867C}">
                  <a14:compatExt spid="_x0000_s224331"/>
                </a:ext>
                <a:ext uri="{FF2B5EF4-FFF2-40B4-BE49-F238E27FC236}">
                  <a16:creationId xmlns:a16="http://schemas.microsoft.com/office/drawing/2014/main" id="{00000000-0008-0000-0900-00004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285750</xdr:rowOff>
        </xdr:from>
        <xdr:to>
          <xdr:col>14</xdr:col>
          <xdr:colOff>76200</xdr:colOff>
          <xdr:row>51</xdr:row>
          <xdr:rowOff>228600</xdr:rowOff>
        </xdr:to>
        <xdr:sp macro="" textlink="">
          <xdr:nvSpPr>
            <xdr:cNvPr id="224332" name="Check Box 76" hidden="1">
              <a:extLst>
                <a:ext uri="{63B3BB69-23CF-44E3-9099-C40C66FF867C}">
                  <a14:compatExt spid="_x0000_s224332"/>
                </a:ext>
                <a:ext uri="{FF2B5EF4-FFF2-40B4-BE49-F238E27FC236}">
                  <a16:creationId xmlns:a16="http://schemas.microsoft.com/office/drawing/2014/main" id="{00000000-0008-0000-0900-00004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46</xdr:row>
          <xdr:rowOff>19050</xdr:rowOff>
        </xdr:from>
        <xdr:to>
          <xdr:col>24</xdr:col>
          <xdr:colOff>76200</xdr:colOff>
          <xdr:row>46</xdr:row>
          <xdr:rowOff>276225</xdr:rowOff>
        </xdr:to>
        <xdr:sp macro="" textlink="">
          <xdr:nvSpPr>
            <xdr:cNvPr id="224333" name="Check Box 77" hidden="1">
              <a:extLst>
                <a:ext uri="{63B3BB69-23CF-44E3-9099-C40C66FF867C}">
                  <a14:compatExt spid="_x0000_s224333"/>
                </a:ext>
                <a:ext uri="{FF2B5EF4-FFF2-40B4-BE49-F238E27FC236}">
                  <a16:creationId xmlns:a16="http://schemas.microsoft.com/office/drawing/2014/main" id="{00000000-0008-0000-0900-00004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95250</xdr:rowOff>
        </xdr:from>
        <xdr:to>
          <xdr:col>4</xdr:col>
          <xdr:colOff>76200</xdr:colOff>
          <xdr:row>44</xdr:row>
          <xdr:rowOff>47625</xdr:rowOff>
        </xdr:to>
        <xdr:sp macro="" textlink="">
          <xdr:nvSpPr>
            <xdr:cNvPr id="224334" name="Check Box 78" hidden="1">
              <a:extLst>
                <a:ext uri="{63B3BB69-23CF-44E3-9099-C40C66FF867C}">
                  <a14:compatExt spid="_x0000_s224334"/>
                </a:ext>
                <a:ext uri="{FF2B5EF4-FFF2-40B4-BE49-F238E27FC236}">
                  <a16:creationId xmlns:a16="http://schemas.microsoft.com/office/drawing/2014/main" id="{00000000-0008-0000-0900-00004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95250</xdr:rowOff>
        </xdr:from>
        <xdr:to>
          <xdr:col>4</xdr:col>
          <xdr:colOff>76200</xdr:colOff>
          <xdr:row>43</xdr:row>
          <xdr:rowOff>47625</xdr:rowOff>
        </xdr:to>
        <xdr:sp macro="" textlink="">
          <xdr:nvSpPr>
            <xdr:cNvPr id="224335" name="Check Box 79" hidden="1">
              <a:extLst>
                <a:ext uri="{63B3BB69-23CF-44E3-9099-C40C66FF867C}">
                  <a14:compatExt spid="_x0000_s224335"/>
                </a:ext>
                <a:ext uri="{FF2B5EF4-FFF2-40B4-BE49-F238E27FC236}">
                  <a16:creationId xmlns:a16="http://schemas.microsoft.com/office/drawing/2014/main" id="{00000000-0008-0000-0900-00004F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95250</xdr:rowOff>
        </xdr:from>
        <xdr:to>
          <xdr:col>4</xdr:col>
          <xdr:colOff>76200</xdr:colOff>
          <xdr:row>42</xdr:row>
          <xdr:rowOff>47625</xdr:rowOff>
        </xdr:to>
        <xdr:sp macro="" textlink="">
          <xdr:nvSpPr>
            <xdr:cNvPr id="224336" name="Check Box 80" hidden="1">
              <a:extLst>
                <a:ext uri="{63B3BB69-23CF-44E3-9099-C40C66FF867C}">
                  <a14:compatExt spid="_x0000_s224336"/>
                </a:ext>
                <a:ext uri="{FF2B5EF4-FFF2-40B4-BE49-F238E27FC236}">
                  <a16:creationId xmlns:a16="http://schemas.microsoft.com/office/drawing/2014/main" id="{00000000-0008-0000-0900-00005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95250</xdr:rowOff>
        </xdr:from>
        <xdr:to>
          <xdr:col>4</xdr:col>
          <xdr:colOff>76200</xdr:colOff>
          <xdr:row>41</xdr:row>
          <xdr:rowOff>47625</xdr:rowOff>
        </xdr:to>
        <xdr:sp macro="" textlink="">
          <xdr:nvSpPr>
            <xdr:cNvPr id="224337" name="Check Box 81" hidden="1">
              <a:extLst>
                <a:ext uri="{63B3BB69-23CF-44E3-9099-C40C66FF867C}">
                  <a14:compatExt spid="_x0000_s224337"/>
                </a:ext>
                <a:ext uri="{FF2B5EF4-FFF2-40B4-BE49-F238E27FC236}">
                  <a16:creationId xmlns:a16="http://schemas.microsoft.com/office/drawing/2014/main" id="{00000000-0008-0000-0900-000051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95250</xdr:rowOff>
        </xdr:from>
        <xdr:to>
          <xdr:col>4</xdr:col>
          <xdr:colOff>76200</xdr:colOff>
          <xdr:row>40</xdr:row>
          <xdr:rowOff>47625</xdr:rowOff>
        </xdr:to>
        <xdr:sp macro="" textlink="">
          <xdr:nvSpPr>
            <xdr:cNvPr id="224338" name="Check Box 82" hidden="1">
              <a:extLst>
                <a:ext uri="{63B3BB69-23CF-44E3-9099-C40C66FF867C}">
                  <a14:compatExt spid="_x0000_s224338"/>
                </a:ext>
                <a:ext uri="{FF2B5EF4-FFF2-40B4-BE49-F238E27FC236}">
                  <a16:creationId xmlns:a16="http://schemas.microsoft.com/office/drawing/2014/main" id="{00000000-0008-0000-0900-000052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95250</xdr:rowOff>
        </xdr:from>
        <xdr:to>
          <xdr:col>4</xdr:col>
          <xdr:colOff>76200</xdr:colOff>
          <xdr:row>39</xdr:row>
          <xdr:rowOff>47625</xdr:rowOff>
        </xdr:to>
        <xdr:sp macro="" textlink="">
          <xdr:nvSpPr>
            <xdr:cNvPr id="224339" name="Check Box 83" hidden="1">
              <a:extLst>
                <a:ext uri="{63B3BB69-23CF-44E3-9099-C40C66FF867C}">
                  <a14:compatExt spid="_x0000_s224339"/>
                </a:ext>
                <a:ext uri="{FF2B5EF4-FFF2-40B4-BE49-F238E27FC236}">
                  <a16:creationId xmlns:a16="http://schemas.microsoft.com/office/drawing/2014/main" id="{00000000-0008-0000-0900-000053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133350</xdr:rowOff>
        </xdr:from>
        <xdr:to>
          <xdr:col>4</xdr:col>
          <xdr:colOff>76200</xdr:colOff>
          <xdr:row>38</xdr:row>
          <xdr:rowOff>47625</xdr:rowOff>
        </xdr:to>
        <xdr:sp macro="" textlink="">
          <xdr:nvSpPr>
            <xdr:cNvPr id="224340" name="Check Box 84" hidden="1">
              <a:extLst>
                <a:ext uri="{63B3BB69-23CF-44E3-9099-C40C66FF867C}">
                  <a14:compatExt spid="_x0000_s224340"/>
                </a:ext>
                <a:ext uri="{FF2B5EF4-FFF2-40B4-BE49-F238E27FC236}">
                  <a16:creationId xmlns:a16="http://schemas.microsoft.com/office/drawing/2014/main" id="{00000000-0008-0000-0900-000054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161925</xdr:rowOff>
        </xdr:from>
        <xdr:to>
          <xdr:col>4</xdr:col>
          <xdr:colOff>76200</xdr:colOff>
          <xdr:row>18</xdr:row>
          <xdr:rowOff>38100</xdr:rowOff>
        </xdr:to>
        <xdr:sp macro="" textlink="">
          <xdr:nvSpPr>
            <xdr:cNvPr id="224343" name="Check Box 87" hidden="1">
              <a:extLst>
                <a:ext uri="{63B3BB69-23CF-44E3-9099-C40C66FF867C}">
                  <a14:compatExt spid="_x0000_s224343"/>
                </a:ext>
                <a:ext uri="{FF2B5EF4-FFF2-40B4-BE49-F238E27FC236}">
                  <a16:creationId xmlns:a16="http://schemas.microsoft.com/office/drawing/2014/main" id="{00000000-0008-0000-0900-000057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57</xdr:row>
          <xdr:rowOff>133350</xdr:rowOff>
        </xdr:from>
        <xdr:to>
          <xdr:col>45</xdr:col>
          <xdr:colOff>76200</xdr:colOff>
          <xdr:row>59</xdr:row>
          <xdr:rowOff>9525</xdr:rowOff>
        </xdr:to>
        <xdr:sp macro="" textlink="">
          <xdr:nvSpPr>
            <xdr:cNvPr id="224345" name="Check Box 89" hidden="1">
              <a:extLst>
                <a:ext uri="{63B3BB69-23CF-44E3-9099-C40C66FF867C}">
                  <a14:compatExt spid="_x0000_s224345"/>
                </a:ext>
                <a:ext uri="{FF2B5EF4-FFF2-40B4-BE49-F238E27FC236}">
                  <a16:creationId xmlns:a16="http://schemas.microsoft.com/office/drawing/2014/main" id="{00000000-0008-0000-0900-000059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54</xdr:row>
          <xdr:rowOff>276225</xdr:rowOff>
        </xdr:from>
        <xdr:to>
          <xdr:col>44</xdr:col>
          <xdr:colOff>66675</xdr:colOff>
          <xdr:row>56</xdr:row>
          <xdr:rowOff>28575</xdr:rowOff>
        </xdr:to>
        <xdr:sp macro="" textlink="">
          <xdr:nvSpPr>
            <xdr:cNvPr id="224346" name="Check Box 90" hidden="1">
              <a:extLst>
                <a:ext uri="{63B3BB69-23CF-44E3-9099-C40C66FF867C}">
                  <a14:compatExt spid="_x0000_s224346"/>
                </a:ext>
                <a:ext uri="{FF2B5EF4-FFF2-40B4-BE49-F238E27FC236}">
                  <a16:creationId xmlns:a16="http://schemas.microsoft.com/office/drawing/2014/main" id="{00000000-0008-0000-0900-00005A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59</xdr:row>
          <xdr:rowOff>276225</xdr:rowOff>
        </xdr:from>
        <xdr:to>
          <xdr:col>44</xdr:col>
          <xdr:colOff>66675</xdr:colOff>
          <xdr:row>61</xdr:row>
          <xdr:rowOff>66675</xdr:rowOff>
        </xdr:to>
        <xdr:sp macro="" textlink="">
          <xdr:nvSpPr>
            <xdr:cNvPr id="224347" name="Check Box 91" hidden="1">
              <a:extLst>
                <a:ext uri="{63B3BB69-23CF-44E3-9099-C40C66FF867C}">
                  <a14:compatExt spid="_x0000_s224347"/>
                </a:ext>
                <a:ext uri="{FF2B5EF4-FFF2-40B4-BE49-F238E27FC236}">
                  <a16:creationId xmlns:a16="http://schemas.microsoft.com/office/drawing/2014/main" id="{00000000-0008-0000-0900-00005B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60</xdr:row>
          <xdr:rowOff>152400</xdr:rowOff>
        </xdr:from>
        <xdr:to>
          <xdr:col>45</xdr:col>
          <xdr:colOff>66675</xdr:colOff>
          <xdr:row>62</xdr:row>
          <xdr:rowOff>28575</xdr:rowOff>
        </xdr:to>
        <xdr:sp macro="" textlink="">
          <xdr:nvSpPr>
            <xdr:cNvPr id="224348" name="Check Box 92" hidden="1">
              <a:extLst>
                <a:ext uri="{63B3BB69-23CF-44E3-9099-C40C66FF867C}">
                  <a14:compatExt spid="_x0000_s224348"/>
                </a:ext>
                <a:ext uri="{FF2B5EF4-FFF2-40B4-BE49-F238E27FC236}">
                  <a16:creationId xmlns:a16="http://schemas.microsoft.com/office/drawing/2014/main" id="{00000000-0008-0000-0900-00005C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61</xdr:row>
          <xdr:rowOff>133350</xdr:rowOff>
        </xdr:from>
        <xdr:to>
          <xdr:col>45</xdr:col>
          <xdr:colOff>76200</xdr:colOff>
          <xdr:row>63</xdr:row>
          <xdr:rowOff>9525</xdr:rowOff>
        </xdr:to>
        <xdr:sp macro="" textlink="">
          <xdr:nvSpPr>
            <xdr:cNvPr id="224349" name="Check Box 93" hidden="1">
              <a:extLst>
                <a:ext uri="{63B3BB69-23CF-44E3-9099-C40C66FF867C}">
                  <a14:compatExt spid="_x0000_s224349"/>
                </a:ext>
                <a:ext uri="{FF2B5EF4-FFF2-40B4-BE49-F238E27FC236}">
                  <a16:creationId xmlns:a16="http://schemas.microsoft.com/office/drawing/2014/main" id="{00000000-0008-0000-0900-00005D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62</xdr:row>
          <xdr:rowOff>133350</xdr:rowOff>
        </xdr:from>
        <xdr:to>
          <xdr:col>45</xdr:col>
          <xdr:colOff>76200</xdr:colOff>
          <xdr:row>64</xdr:row>
          <xdr:rowOff>9525</xdr:rowOff>
        </xdr:to>
        <xdr:sp macro="" textlink="">
          <xdr:nvSpPr>
            <xdr:cNvPr id="224350" name="Check Box 94" hidden="1">
              <a:extLst>
                <a:ext uri="{63B3BB69-23CF-44E3-9099-C40C66FF867C}">
                  <a14:compatExt spid="_x0000_s224350"/>
                </a:ext>
                <a:ext uri="{FF2B5EF4-FFF2-40B4-BE49-F238E27FC236}">
                  <a16:creationId xmlns:a16="http://schemas.microsoft.com/office/drawing/2014/main" id="{00000000-0008-0000-0900-00005E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152400</xdr:rowOff>
        </xdr:from>
        <xdr:to>
          <xdr:col>25</xdr:col>
          <xdr:colOff>66675</xdr:colOff>
          <xdr:row>63</xdr:row>
          <xdr:rowOff>28575</xdr:rowOff>
        </xdr:to>
        <xdr:sp macro="" textlink="">
          <xdr:nvSpPr>
            <xdr:cNvPr id="224352" name="Check Box 96" hidden="1">
              <a:extLst>
                <a:ext uri="{63B3BB69-23CF-44E3-9099-C40C66FF867C}">
                  <a14:compatExt spid="_x0000_s224352"/>
                </a:ext>
                <a:ext uri="{FF2B5EF4-FFF2-40B4-BE49-F238E27FC236}">
                  <a16:creationId xmlns:a16="http://schemas.microsoft.com/office/drawing/2014/main" id="{00000000-0008-0000-0900-0000606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295182</xdr:colOff>
      <xdr:row>1</xdr:row>
      <xdr:rowOff>28575</xdr:rowOff>
    </xdr:to>
    <xdr:sp macro="" textlink="">
      <xdr:nvSpPr>
        <xdr:cNvPr id="51" name="テキスト ボックス 6">
          <a:extLst>
            <a:ext uri="{FF2B5EF4-FFF2-40B4-BE49-F238E27FC236}">
              <a16:creationId xmlns:a16="http://schemas.microsoft.com/office/drawing/2014/main" id="{00000000-0008-0000-1C00-000007000000}"/>
            </a:ext>
          </a:extLst>
        </xdr:cNvPr>
        <xdr:cNvSpPr txBox="1"/>
      </xdr:nvSpPr>
      <xdr:spPr>
        <a:xfrm>
          <a:off x="339090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18</xdr:col>
      <xdr:colOff>0</xdr:colOff>
      <xdr:row>0</xdr:row>
      <xdr:rowOff>0</xdr:rowOff>
    </xdr:from>
    <xdr:to>
      <xdr:col>20</xdr:col>
      <xdr:colOff>190202</xdr:colOff>
      <xdr:row>3</xdr:row>
      <xdr:rowOff>228302</xdr:rowOff>
    </xdr:to>
    <xdr:grpSp>
      <xdr:nvGrpSpPr>
        <xdr:cNvPr id="8" name="グループ化 7">
          <a:hlinkClick xmlns:r="http://schemas.openxmlformats.org/officeDocument/2006/relationships" r:id="rId1"/>
          <a:extLst>
            <a:ext uri="{FF2B5EF4-FFF2-40B4-BE49-F238E27FC236}">
              <a16:creationId xmlns:a16="http://schemas.microsoft.com/office/drawing/2014/main" id="{00000000-0008-0000-1C00-000008000000}"/>
            </a:ext>
          </a:extLst>
        </xdr:cNvPr>
        <xdr:cNvGrpSpPr>
          <a:grpSpLocks/>
        </xdr:cNvGrpSpPr>
      </xdr:nvGrpSpPr>
      <xdr:grpSpPr bwMode="auto">
        <a:xfrm>
          <a:off x="7258050" y="0"/>
          <a:ext cx="1561802" cy="780752"/>
          <a:chOff x="7896221" y="0"/>
          <a:chExt cx="1566617" cy="781050"/>
        </a:xfrm>
      </xdr:grpSpPr>
      <xdr:sp macro="" textlink="">
        <xdr:nvSpPr>
          <xdr:cNvPr id="9" name="円/楕円 112">
            <a:extLst>
              <a:ext uri="{FF2B5EF4-FFF2-40B4-BE49-F238E27FC236}">
                <a16:creationId xmlns:a16="http://schemas.microsoft.com/office/drawing/2014/main" id="{00000000-0008-0000-1C00-000009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22</xdr:row>
          <xdr:rowOff>66675</xdr:rowOff>
        </xdr:from>
        <xdr:to>
          <xdr:col>3</xdr:col>
          <xdr:colOff>0</xdr:colOff>
          <xdr:row>22</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D00-00000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66675</xdr:rowOff>
        </xdr:from>
        <xdr:to>
          <xdr:col>3</xdr:col>
          <xdr:colOff>0</xdr:colOff>
          <xdr:row>23</xdr:row>
          <xdr:rowOff>247650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D00-00000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24</xdr:row>
          <xdr:rowOff>66675</xdr:rowOff>
        </xdr:from>
        <xdr:to>
          <xdr:col>1</xdr:col>
          <xdr:colOff>457200</xdr:colOff>
          <xdr:row>24</xdr:row>
          <xdr:rowOff>247650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1D00-00000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29</xdr:row>
          <xdr:rowOff>57150</xdr:rowOff>
        </xdr:from>
        <xdr:to>
          <xdr:col>3</xdr:col>
          <xdr:colOff>66675</xdr:colOff>
          <xdr:row>29</xdr:row>
          <xdr:rowOff>266700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1D00-00000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29</xdr:row>
          <xdr:rowOff>57150</xdr:rowOff>
        </xdr:from>
        <xdr:to>
          <xdr:col>6</xdr:col>
          <xdr:colOff>66675</xdr:colOff>
          <xdr:row>29</xdr:row>
          <xdr:rowOff>266700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1D00-00000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32" name="グループ化 31">
          <a:hlinkClick xmlns:r="http://schemas.openxmlformats.org/officeDocument/2006/relationships" r:id="rId1"/>
          <a:extLst>
            <a:ext uri="{FF2B5EF4-FFF2-40B4-BE49-F238E27FC236}">
              <a16:creationId xmlns:a16="http://schemas.microsoft.com/office/drawing/2014/main" id="{00000000-0008-0000-1D00-000020000000}"/>
            </a:ext>
          </a:extLst>
        </xdr:cNvPr>
        <xdr:cNvGrpSpPr>
          <a:grpSpLocks/>
        </xdr:cNvGrpSpPr>
      </xdr:nvGrpSpPr>
      <xdr:grpSpPr bwMode="auto">
        <a:xfrm>
          <a:off x="6629400" y="0"/>
          <a:ext cx="1562128" cy="685502"/>
          <a:chOff x="7896221" y="0"/>
          <a:chExt cx="1566617" cy="781050"/>
        </a:xfrm>
      </xdr:grpSpPr>
      <xdr:sp macro="" textlink="">
        <xdr:nvSpPr>
          <xdr:cNvPr id="33" name="円/楕円 112">
            <a:extLst>
              <a:ext uri="{FF2B5EF4-FFF2-40B4-BE49-F238E27FC236}">
                <a16:creationId xmlns:a16="http://schemas.microsoft.com/office/drawing/2014/main" id="{00000000-0008-0000-1D00-00002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id="{00000000-0008-0000-1D00-00002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1</xdr:row>
      <xdr:rowOff>0</xdr:rowOff>
    </xdr:from>
    <xdr:to>
      <xdr:col>21</xdr:col>
      <xdr:colOff>9441</xdr:colOff>
      <xdr:row>2</xdr:row>
      <xdr:rowOff>85725</xdr:rowOff>
    </xdr:to>
    <xdr:sp macro="" textlink="">
      <xdr:nvSpPr>
        <xdr:cNvPr id="52" name="テキスト ボックス 34">
          <a:extLst>
            <a:ext uri="{FF2B5EF4-FFF2-40B4-BE49-F238E27FC236}">
              <a16:creationId xmlns:a16="http://schemas.microsoft.com/office/drawing/2014/main" id="{00000000-0008-0000-1D00-000023000000}"/>
            </a:ext>
          </a:extLst>
        </xdr:cNvPr>
        <xdr:cNvSpPr txBox="1"/>
      </xdr:nvSpPr>
      <xdr:spPr>
        <a:xfrm>
          <a:off x="4695825" y="171450"/>
          <a:ext cx="1114425" cy="2381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16</xdr:row>
      <xdr:rowOff>0</xdr:rowOff>
    </xdr:from>
    <xdr:to>
      <xdr:col>32</xdr:col>
      <xdr:colOff>159962</xdr:colOff>
      <xdr:row>17</xdr:row>
      <xdr:rowOff>85725</xdr:rowOff>
    </xdr:to>
    <xdr:sp macro="" textlink="">
      <xdr:nvSpPr>
        <xdr:cNvPr id="53" name="テキスト ボックス 35">
          <a:extLst>
            <a:ext uri="{FF2B5EF4-FFF2-40B4-BE49-F238E27FC236}">
              <a16:creationId xmlns:a16="http://schemas.microsoft.com/office/drawing/2014/main" id="{00000000-0008-0000-1D00-000024000000}"/>
            </a:ext>
          </a:extLst>
        </xdr:cNvPr>
        <xdr:cNvSpPr txBox="1"/>
      </xdr:nvSpPr>
      <xdr:spPr>
        <a:xfrm>
          <a:off x="6629400" y="260985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20</xdr:row>
      <xdr:rowOff>190500</xdr:rowOff>
    </xdr:from>
    <xdr:to>
      <xdr:col>32</xdr:col>
      <xdr:colOff>159962</xdr:colOff>
      <xdr:row>32</xdr:row>
      <xdr:rowOff>28575</xdr:rowOff>
    </xdr:to>
    <xdr:sp macro="" textlink="">
      <xdr:nvSpPr>
        <xdr:cNvPr id="54" name="テキスト ボックス 36">
          <a:extLst>
            <a:ext uri="{FF2B5EF4-FFF2-40B4-BE49-F238E27FC236}">
              <a16:creationId xmlns:a16="http://schemas.microsoft.com/office/drawing/2014/main" id="{00000000-0008-0000-1D00-000025000000}"/>
            </a:ext>
          </a:extLst>
        </xdr:cNvPr>
        <xdr:cNvSpPr txBox="1"/>
      </xdr:nvSpPr>
      <xdr:spPr>
        <a:xfrm>
          <a:off x="6629400" y="3505199"/>
          <a:ext cx="2369820" cy="1704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申請者と工事監理者欄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48</xdr:row>
      <xdr:rowOff>0</xdr:rowOff>
    </xdr:from>
    <xdr:to>
      <xdr:col>32</xdr:col>
      <xdr:colOff>159962</xdr:colOff>
      <xdr:row>60</xdr:row>
      <xdr:rowOff>47625</xdr:rowOff>
    </xdr:to>
    <xdr:sp macro="" textlink="">
      <xdr:nvSpPr>
        <xdr:cNvPr id="55" name="テキスト ボックス 37">
          <a:extLst>
            <a:ext uri="{FF2B5EF4-FFF2-40B4-BE49-F238E27FC236}">
              <a16:creationId xmlns:a16="http://schemas.microsoft.com/office/drawing/2014/main" id="{00000000-0008-0000-1D00-000026000000}"/>
            </a:ext>
          </a:extLst>
        </xdr:cNvPr>
        <xdr:cNvSpPr txBox="1"/>
      </xdr:nvSpPr>
      <xdr:spPr>
        <a:xfrm>
          <a:off x="6629400" y="9467850"/>
          <a:ext cx="2369820" cy="20288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第二面</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208</xdr:row>
      <xdr:rowOff>0</xdr:rowOff>
    </xdr:from>
    <xdr:to>
      <xdr:col>32</xdr:col>
      <xdr:colOff>159962</xdr:colOff>
      <xdr:row>220</xdr:row>
      <xdr:rowOff>47625</xdr:rowOff>
    </xdr:to>
    <xdr:sp macro="" textlink="">
      <xdr:nvSpPr>
        <xdr:cNvPr id="56" name="テキスト ボックス 38">
          <a:extLst>
            <a:ext uri="{FF2B5EF4-FFF2-40B4-BE49-F238E27FC236}">
              <a16:creationId xmlns:a16="http://schemas.microsoft.com/office/drawing/2014/main" id="{00000000-0008-0000-1D00-000027000000}"/>
            </a:ext>
          </a:extLst>
        </xdr:cNvPr>
        <xdr:cNvSpPr txBox="1"/>
      </xdr:nvSpPr>
      <xdr:spPr>
        <a:xfrm>
          <a:off x="6629400" y="34347150"/>
          <a:ext cx="2369820" cy="20478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262</xdr:row>
      <xdr:rowOff>0</xdr:rowOff>
    </xdr:from>
    <xdr:to>
      <xdr:col>32</xdr:col>
      <xdr:colOff>159962</xdr:colOff>
      <xdr:row>272</xdr:row>
      <xdr:rowOff>47625</xdr:rowOff>
    </xdr:to>
    <xdr:sp macro="" textlink="">
      <xdr:nvSpPr>
        <xdr:cNvPr id="57" name="テキスト ボックス 39">
          <a:extLst>
            <a:ext uri="{FF2B5EF4-FFF2-40B4-BE49-F238E27FC236}">
              <a16:creationId xmlns:a16="http://schemas.microsoft.com/office/drawing/2014/main" id="{00000000-0008-0000-1D00-000028000000}"/>
            </a:ext>
          </a:extLst>
        </xdr:cNvPr>
        <xdr:cNvSpPr txBox="1"/>
      </xdr:nvSpPr>
      <xdr:spPr>
        <a:xfrm>
          <a:off x="6629400" y="42748200"/>
          <a:ext cx="2369820" cy="2162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290</xdr:row>
      <xdr:rowOff>0</xdr:rowOff>
    </xdr:from>
    <xdr:to>
      <xdr:col>32</xdr:col>
      <xdr:colOff>159962</xdr:colOff>
      <xdr:row>297</xdr:row>
      <xdr:rowOff>66675</xdr:rowOff>
    </xdr:to>
    <xdr:sp macro="" textlink="">
      <xdr:nvSpPr>
        <xdr:cNvPr id="58" name="テキスト ボックス 40">
          <a:extLst>
            <a:ext uri="{FF2B5EF4-FFF2-40B4-BE49-F238E27FC236}">
              <a16:creationId xmlns:a16="http://schemas.microsoft.com/office/drawing/2014/main" id="{00000000-0008-0000-1D00-000029000000}"/>
            </a:ext>
          </a:extLst>
        </xdr:cNvPr>
        <xdr:cNvSpPr txBox="1"/>
      </xdr:nvSpPr>
      <xdr:spPr>
        <a:xfrm>
          <a:off x="6629400" y="49244250"/>
          <a:ext cx="2369820" cy="1362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軽微な変更が複数あり、記入しきれない場合は、最終ページに、追加記入欄を準備していますので、そちらに記入してください</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34</xdr:row>
          <xdr:rowOff>180975</xdr:rowOff>
        </xdr:from>
        <xdr:to>
          <xdr:col>11</xdr:col>
          <xdr:colOff>57150</xdr:colOff>
          <xdr:row>36</xdr:row>
          <xdr:rowOff>9525</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E00-00000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171450</xdr:rowOff>
        </xdr:from>
        <xdr:to>
          <xdr:col>11</xdr:col>
          <xdr:colOff>66675</xdr:colOff>
          <xdr:row>35</xdr:row>
          <xdr:rowOff>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E00-00000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180975</xdr:rowOff>
        </xdr:from>
        <xdr:to>
          <xdr:col>3</xdr:col>
          <xdr:colOff>57150</xdr:colOff>
          <xdr:row>37</xdr:row>
          <xdr:rowOff>9525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1E00-00000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35</xdr:row>
          <xdr:rowOff>171450</xdr:rowOff>
        </xdr:from>
        <xdr:to>
          <xdr:col>11</xdr:col>
          <xdr:colOff>57150</xdr:colOff>
          <xdr:row>37</xdr:row>
          <xdr:rowOff>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1E00-00000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310</xdr:row>
          <xdr:rowOff>0</xdr:rowOff>
        </xdr:from>
        <xdr:to>
          <xdr:col>21</xdr:col>
          <xdr:colOff>66675</xdr:colOff>
          <xdr:row>311</xdr:row>
          <xdr:rowOff>19050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E00-00000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310</xdr:row>
          <xdr:rowOff>0</xdr:rowOff>
        </xdr:from>
        <xdr:to>
          <xdr:col>23</xdr:col>
          <xdr:colOff>66675</xdr:colOff>
          <xdr:row>311</xdr:row>
          <xdr:rowOff>19050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E00-00000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313</xdr:row>
          <xdr:rowOff>0</xdr:rowOff>
        </xdr:from>
        <xdr:to>
          <xdr:col>21</xdr:col>
          <xdr:colOff>66675</xdr:colOff>
          <xdr:row>314</xdr:row>
          <xdr:rowOff>19050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1E00-00000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313</xdr:row>
          <xdr:rowOff>0</xdr:rowOff>
        </xdr:from>
        <xdr:to>
          <xdr:col>23</xdr:col>
          <xdr:colOff>66675</xdr:colOff>
          <xdr:row>314</xdr:row>
          <xdr:rowOff>19050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1E00-00000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319</xdr:row>
          <xdr:rowOff>0</xdr:rowOff>
        </xdr:from>
        <xdr:to>
          <xdr:col>21</xdr:col>
          <xdr:colOff>66675</xdr:colOff>
          <xdr:row>320</xdr:row>
          <xdr:rowOff>19050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1E00-00000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319</xdr:row>
          <xdr:rowOff>0</xdr:rowOff>
        </xdr:from>
        <xdr:to>
          <xdr:col>23</xdr:col>
          <xdr:colOff>66675</xdr:colOff>
          <xdr:row>320</xdr:row>
          <xdr:rowOff>19050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1E00-00000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325</xdr:row>
          <xdr:rowOff>0</xdr:rowOff>
        </xdr:from>
        <xdr:to>
          <xdr:col>21</xdr:col>
          <xdr:colOff>66675</xdr:colOff>
          <xdr:row>326</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1E00-00000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325</xdr:row>
          <xdr:rowOff>0</xdr:rowOff>
        </xdr:from>
        <xdr:to>
          <xdr:col>23</xdr:col>
          <xdr:colOff>66675</xdr:colOff>
          <xdr:row>326</xdr:row>
          <xdr:rowOff>19050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1E00-00000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329</xdr:row>
          <xdr:rowOff>0</xdr:rowOff>
        </xdr:from>
        <xdr:to>
          <xdr:col>21</xdr:col>
          <xdr:colOff>66675</xdr:colOff>
          <xdr:row>330</xdr:row>
          <xdr:rowOff>19050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1E00-00000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329</xdr:row>
          <xdr:rowOff>0</xdr:rowOff>
        </xdr:from>
        <xdr:to>
          <xdr:col>23</xdr:col>
          <xdr:colOff>66675</xdr:colOff>
          <xdr:row>330</xdr:row>
          <xdr:rowOff>19050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1E00-00000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333</xdr:row>
          <xdr:rowOff>0</xdr:rowOff>
        </xdr:from>
        <xdr:to>
          <xdr:col>21</xdr:col>
          <xdr:colOff>66675</xdr:colOff>
          <xdr:row>334</xdr:row>
          <xdr:rowOff>19050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1E00-00000F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333</xdr:row>
          <xdr:rowOff>0</xdr:rowOff>
        </xdr:from>
        <xdr:to>
          <xdr:col>23</xdr:col>
          <xdr:colOff>66675</xdr:colOff>
          <xdr:row>334</xdr:row>
          <xdr:rowOff>19050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1E00-000010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336</xdr:row>
          <xdr:rowOff>0</xdr:rowOff>
        </xdr:from>
        <xdr:to>
          <xdr:col>21</xdr:col>
          <xdr:colOff>66675</xdr:colOff>
          <xdr:row>337</xdr:row>
          <xdr:rowOff>19050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1E00-00001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336</xdr:row>
          <xdr:rowOff>0</xdr:rowOff>
        </xdr:from>
        <xdr:to>
          <xdr:col>23</xdr:col>
          <xdr:colOff>66675</xdr:colOff>
          <xdr:row>337</xdr:row>
          <xdr:rowOff>19050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1E00-00001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340</xdr:row>
          <xdr:rowOff>0</xdr:rowOff>
        </xdr:from>
        <xdr:to>
          <xdr:col>21</xdr:col>
          <xdr:colOff>66675</xdr:colOff>
          <xdr:row>341</xdr:row>
          <xdr:rowOff>19050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1E00-00001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340</xdr:row>
          <xdr:rowOff>0</xdr:rowOff>
        </xdr:from>
        <xdr:to>
          <xdr:col>23</xdr:col>
          <xdr:colOff>66675</xdr:colOff>
          <xdr:row>341</xdr:row>
          <xdr:rowOff>19050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1E00-00001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344</xdr:row>
          <xdr:rowOff>0</xdr:rowOff>
        </xdr:from>
        <xdr:to>
          <xdr:col>21</xdr:col>
          <xdr:colOff>66675</xdr:colOff>
          <xdr:row>345</xdr:row>
          <xdr:rowOff>19050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1E00-00001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344</xdr:row>
          <xdr:rowOff>0</xdr:rowOff>
        </xdr:from>
        <xdr:to>
          <xdr:col>23</xdr:col>
          <xdr:colOff>66675</xdr:colOff>
          <xdr:row>345</xdr:row>
          <xdr:rowOff>19050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1E00-00001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348</xdr:row>
          <xdr:rowOff>0</xdr:rowOff>
        </xdr:from>
        <xdr:to>
          <xdr:col>21</xdr:col>
          <xdr:colOff>66675</xdr:colOff>
          <xdr:row>349</xdr:row>
          <xdr:rowOff>19050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1E00-00001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348</xdr:row>
          <xdr:rowOff>0</xdr:rowOff>
        </xdr:from>
        <xdr:to>
          <xdr:col>23</xdr:col>
          <xdr:colOff>66675</xdr:colOff>
          <xdr:row>349</xdr:row>
          <xdr:rowOff>19050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1E00-00001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353</xdr:row>
          <xdr:rowOff>0</xdr:rowOff>
        </xdr:from>
        <xdr:to>
          <xdr:col>21</xdr:col>
          <xdr:colOff>66675</xdr:colOff>
          <xdr:row>354</xdr:row>
          <xdr:rowOff>19050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1E00-00001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353</xdr:row>
          <xdr:rowOff>0</xdr:rowOff>
        </xdr:from>
        <xdr:to>
          <xdr:col>23</xdr:col>
          <xdr:colOff>66675</xdr:colOff>
          <xdr:row>354</xdr:row>
          <xdr:rowOff>19050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1E00-00001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357</xdr:row>
          <xdr:rowOff>0</xdr:rowOff>
        </xdr:from>
        <xdr:to>
          <xdr:col>21</xdr:col>
          <xdr:colOff>66675</xdr:colOff>
          <xdr:row>358</xdr:row>
          <xdr:rowOff>19050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1E00-00001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357</xdr:row>
          <xdr:rowOff>0</xdr:rowOff>
        </xdr:from>
        <xdr:to>
          <xdr:col>23</xdr:col>
          <xdr:colOff>66675</xdr:colOff>
          <xdr:row>358</xdr:row>
          <xdr:rowOff>19050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1E00-00001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171450</xdr:rowOff>
        </xdr:from>
        <xdr:to>
          <xdr:col>3</xdr:col>
          <xdr:colOff>57150</xdr:colOff>
          <xdr:row>36</xdr:row>
          <xdr:rowOff>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1E00-00001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xdr:row>
          <xdr:rowOff>171450</xdr:rowOff>
        </xdr:from>
        <xdr:to>
          <xdr:col>3</xdr:col>
          <xdr:colOff>57150</xdr:colOff>
          <xdr:row>35</xdr:row>
          <xdr:rowOff>0</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1E00-00001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59" name="テキスト ボックス 3">
          <a:extLst>
            <a:ext uri="{FF2B5EF4-FFF2-40B4-BE49-F238E27FC236}">
              <a16:creationId xmlns:a16="http://schemas.microsoft.com/office/drawing/2014/main" id="{00000000-0008-0000-1E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66303</xdr:rowOff>
    </xdr:to>
    <xdr:sp macro="" textlink="">
      <xdr:nvSpPr>
        <xdr:cNvPr id="60" name="テキスト ボックス 4">
          <a:extLst>
            <a:ext uri="{FF2B5EF4-FFF2-40B4-BE49-F238E27FC236}">
              <a16:creationId xmlns:a16="http://schemas.microsoft.com/office/drawing/2014/main" id="{00000000-0008-0000-1E00-000005000000}"/>
            </a:ext>
          </a:extLst>
        </xdr:cNvPr>
        <xdr:cNvSpPr txBox="1"/>
      </xdr:nvSpPr>
      <xdr:spPr>
        <a:xfrm>
          <a:off x="6629400" y="6524625"/>
          <a:ext cx="2457450"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lnSpc>
              <a:spcPts val="1300"/>
            </a:lnSpc>
          </a:pP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7</xdr:row>
      <xdr:rowOff>0</xdr:rowOff>
    </xdr:from>
    <xdr:to>
      <xdr:col>31</xdr:col>
      <xdr:colOff>28594</xdr:colOff>
      <xdr:row>8</xdr:row>
      <xdr:rowOff>85725</xdr:rowOff>
    </xdr:to>
    <xdr:sp macro="" textlink="">
      <xdr:nvSpPr>
        <xdr:cNvPr id="61" name="テキスト ボックス 5">
          <a:extLst>
            <a:ext uri="{FF2B5EF4-FFF2-40B4-BE49-F238E27FC236}">
              <a16:creationId xmlns:a16="http://schemas.microsoft.com/office/drawing/2014/main" id="{00000000-0008-0000-1E00-000006000000}"/>
            </a:ext>
          </a:extLst>
        </xdr:cNvPr>
        <xdr:cNvSpPr txBox="1"/>
      </xdr:nvSpPr>
      <xdr:spPr>
        <a:xfrm>
          <a:off x="6629400" y="1304925"/>
          <a:ext cx="196215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申請日を記入してください</a:t>
          </a:r>
        </a:p>
      </xdr:txBody>
    </xdr:sp>
    <xdr:clientData fPrintsWithSheet="0"/>
  </xdr:twoCellAnchor>
  <xdr:twoCellAnchor>
    <xdr:from>
      <xdr:col>24</xdr:col>
      <xdr:colOff>0</xdr:colOff>
      <xdr:row>0</xdr:row>
      <xdr:rowOff>0</xdr:rowOff>
    </xdr:from>
    <xdr:to>
      <xdr:col>29</xdr:col>
      <xdr:colOff>181003</xdr:colOff>
      <xdr:row>4</xdr:row>
      <xdr:rowOff>18752</xdr:rowOff>
    </xdr:to>
    <xdr:grpSp>
      <xdr:nvGrpSpPr>
        <xdr:cNvPr id="7" name="グループ化 14">
          <a:hlinkClick xmlns:r="http://schemas.openxmlformats.org/officeDocument/2006/relationships" r:id="rId1"/>
          <a:extLst>
            <a:ext uri="{FF2B5EF4-FFF2-40B4-BE49-F238E27FC236}">
              <a16:creationId xmlns:a16="http://schemas.microsoft.com/office/drawing/2014/main" id="{00000000-0008-0000-1E00-000007000000}"/>
            </a:ext>
          </a:extLst>
        </xdr:cNvPr>
        <xdr:cNvGrpSpPr>
          <a:grpSpLocks/>
        </xdr:cNvGrpSpPr>
      </xdr:nvGrpSpPr>
      <xdr:grpSpPr bwMode="auto">
        <a:xfrm>
          <a:off x="6629400" y="0"/>
          <a:ext cx="1562128" cy="742652"/>
          <a:chOff x="7896221" y="0"/>
          <a:chExt cx="1566617" cy="781050"/>
        </a:xfrm>
      </xdr:grpSpPr>
      <xdr:sp macro="" textlink="">
        <xdr:nvSpPr>
          <xdr:cNvPr id="8" name="円/楕円 112">
            <a:extLst>
              <a:ext uri="{FF2B5EF4-FFF2-40B4-BE49-F238E27FC236}">
                <a16:creationId xmlns:a16="http://schemas.microsoft.com/office/drawing/2014/main" id="{00000000-0008-0000-1E00-000008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42</xdr:col>
      <xdr:colOff>95222</xdr:colOff>
      <xdr:row>38</xdr:row>
      <xdr:rowOff>104924</xdr:rowOff>
    </xdr:to>
    <xdr:sp macro="" textlink="">
      <xdr:nvSpPr>
        <xdr:cNvPr id="62" name="テキスト ボックス 13">
          <a:extLst>
            <a:ext uri="{FF2B5EF4-FFF2-40B4-BE49-F238E27FC236}">
              <a16:creationId xmlns:a16="http://schemas.microsoft.com/office/drawing/2014/main" id="{00000000-0008-0000-1E00-00000E000000}"/>
            </a:ext>
          </a:extLst>
        </xdr:cNvPr>
        <xdr:cNvSpPr txBox="1"/>
      </xdr:nvSpPr>
      <xdr:spPr>
        <a:xfrm>
          <a:off x="6629400" y="733425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1F00-00000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1F00-00000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1F00-00000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1F00-00000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1F00-00000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1F00-00000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24</xdr:col>
      <xdr:colOff>0</xdr:colOff>
      <xdr:row>34</xdr:row>
      <xdr:rowOff>0</xdr:rowOff>
    </xdr:from>
    <xdr:to>
      <xdr:col>32</xdr:col>
      <xdr:colOff>159962</xdr:colOff>
      <xdr:row>35</xdr:row>
      <xdr:rowOff>85576</xdr:rowOff>
    </xdr:to>
    <xdr:sp macro="" textlink="">
      <xdr:nvSpPr>
        <xdr:cNvPr id="63" name="テキスト ボックス 7">
          <a:extLst>
            <a:ext uri="{FF2B5EF4-FFF2-40B4-BE49-F238E27FC236}">
              <a16:creationId xmlns:a16="http://schemas.microsoft.com/office/drawing/2014/main" id="{00000000-0008-0000-1F00-000008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64" name="テキスト ボックス 8">
          <a:extLst>
            <a:ext uri="{FF2B5EF4-FFF2-40B4-BE49-F238E27FC236}">
              <a16:creationId xmlns:a16="http://schemas.microsoft.com/office/drawing/2014/main" id="{00000000-0008-0000-1F00-000009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65" name="テキスト ボックス 9">
          <a:extLst>
            <a:ext uri="{FF2B5EF4-FFF2-40B4-BE49-F238E27FC236}">
              <a16:creationId xmlns:a16="http://schemas.microsoft.com/office/drawing/2014/main" id="{00000000-0008-0000-1F00-00000A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66" name="テキスト ボックス 10">
          <a:extLst>
            <a:ext uri="{FF2B5EF4-FFF2-40B4-BE49-F238E27FC236}">
              <a16:creationId xmlns:a16="http://schemas.microsoft.com/office/drawing/2014/main" id="{00000000-0008-0000-1F00-00000B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67" name="テキスト ボックス 11">
          <a:extLst>
            <a:ext uri="{FF2B5EF4-FFF2-40B4-BE49-F238E27FC236}">
              <a16:creationId xmlns:a16="http://schemas.microsoft.com/office/drawing/2014/main" id="{00000000-0008-0000-1F00-00000C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68" name="テキスト ボックス 12">
          <a:extLst>
            <a:ext uri="{FF2B5EF4-FFF2-40B4-BE49-F238E27FC236}">
              <a16:creationId xmlns:a16="http://schemas.microsoft.com/office/drawing/2014/main" id="{00000000-0008-0000-1F00-00000D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69" name="テキスト ボックス 6">
          <a:extLst>
            <a:ext uri="{FF2B5EF4-FFF2-40B4-BE49-F238E27FC236}">
              <a16:creationId xmlns:a16="http://schemas.microsoft.com/office/drawing/2014/main" id="{00000000-0008-0000-1F00-00000E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0" name="テキスト ボックス 7">
          <a:extLst>
            <a:ext uri="{FF2B5EF4-FFF2-40B4-BE49-F238E27FC236}">
              <a16:creationId xmlns:a16="http://schemas.microsoft.com/office/drawing/2014/main" id="{00000000-0008-0000-1F00-00000F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0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0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32</xdr:col>
      <xdr:colOff>159962</xdr:colOff>
      <xdr:row>35</xdr:row>
      <xdr:rowOff>85576</xdr:rowOff>
    </xdr:to>
    <xdr:sp macro="" textlink="">
      <xdr:nvSpPr>
        <xdr:cNvPr id="71" name="テキスト ボックス 4">
          <a:extLst>
            <a:ext uri="{FF2B5EF4-FFF2-40B4-BE49-F238E27FC236}">
              <a16:creationId xmlns:a16="http://schemas.microsoft.com/office/drawing/2014/main" id="{00000000-0008-0000-2000-000005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72" name="テキスト ボックス 5">
          <a:extLst>
            <a:ext uri="{FF2B5EF4-FFF2-40B4-BE49-F238E27FC236}">
              <a16:creationId xmlns:a16="http://schemas.microsoft.com/office/drawing/2014/main" id="{00000000-0008-0000-2000-000006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73" name="テキスト ボックス 6">
          <a:extLst>
            <a:ext uri="{FF2B5EF4-FFF2-40B4-BE49-F238E27FC236}">
              <a16:creationId xmlns:a16="http://schemas.microsoft.com/office/drawing/2014/main" id="{00000000-0008-0000-2000-000007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74" name="テキスト ボックス 7">
          <a:extLst>
            <a:ext uri="{FF2B5EF4-FFF2-40B4-BE49-F238E27FC236}">
              <a16:creationId xmlns:a16="http://schemas.microsoft.com/office/drawing/2014/main" id="{00000000-0008-0000-2000-000008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75" name="テキスト ボックス 8">
          <a:extLst>
            <a:ext uri="{FF2B5EF4-FFF2-40B4-BE49-F238E27FC236}">
              <a16:creationId xmlns:a16="http://schemas.microsoft.com/office/drawing/2014/main" id="{00000000-0008-0000-20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76" name="テキスト ボックス 9">
          <a:extLst>
            <a:ext uri="{FF2B5EF4-FFF2-40B4-BE49-F238E27FC236}">
              <a16:creationId xmlns:a16="http://schemas.microsoft.com/office/drawing/2014/main" id="{00000000-0008-0000-2000-00000A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77" name="テキスト ボックス 6">
          <a:extLst>
            <a:ext uri="{FF2B5EF4-FFF2-40B4-BE49-F238E27FC236}">
              <a16:creationId xmlns:a16="http://schemas.microsoft.com/office/drawing/2014/main" id="{00000000-0008-0000-2000-00000B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8" name="テキスト ボックス 7">
          <a:extLst>
            <a:ext uri="{FF2B5EF4-FFF2-40B4-BE49-F238E27FC236}">
              <a16:creationId xmlns:a16="http://schemas.microsoft.com/office/drawing/2014/main" id="{00000000-0008-0000-2000-00000C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85725</xdr:rowOff>
    </xdr:to>
    <xdr:sp macro="" textlink="">
      <xdr:nvSpPr>
        <xdr:cNvPr id="79" name="テキスト ボックス 16">
          <a:extLst>
            <a:ext uri="{FF2B5EF4-FFF2-40B4-BE49-F238E27FC236}">
              <a16:creationId xmlns:a16="http://schemas.microsoft.com/office/drawing/2014/main" id="{00000000-0008-0000-2100-000011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80" name="テキスト ボックス 19">
          <a:extLst>
            <a:ext uri="{FF2B5EF4-FFF2-40B4-BE49-F238E27FC236}">
              <a16:creationId xmlns:a16="http://schemas.microsoft.com/office/drawing/2014/main" id="{00000000-0008-0000-2100-000014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81" name="テキスト ボックス 20">
          <a:extLst>
            <a:ext uri="{FF2B5EF4-FFF2-40B4-BE49-F238E27FC236}">
              <a16:creationId xmlns:a16="http://schemas.microsoft.com/office/drawing/2014/main" id="{00000000-0008-0000-2100-000015000000}"/>
            </a:ext>
          </a:extLst>
        </xdr:cNvPr>
        <xdr:cNvSpPr txBox="1"/>
      </xdr:nvSpPr>
      <xdr:spPr>
        <a:xfrm>
          <a:off x="6629400" y="2667000"/>
          <a:ext cx="2369820" cy="10763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9376</xdr:rowOff>
    </xdr:to>
    <xdr:sp macro="" textlink="">
      <xdr:nvSpPr>
        <xdr:cNvPr id="82" name="テキスト ボックス 21">
          <a:extLst>
            <a:ext uri="{FF2B5EF4-FFF2-40B4-BE49-F238E27FC236}">
              <a16:creationId xmlns:a16="http://schemas.microsoft.com/office/drawing/2014/main" id="{00000000-0008-0000-2100-000016000000}"/>
            </a:ext>
          </a:extLst>
        </xdr:cNvPr>
        <xdr:cNvSpPr txBox="1"/>
      </xdr:nvSpPr>
      <xdr:spPr>
        <a:xfrm>
          <a:off x="6629400" y="9753599"/>
          <a:ext cx="2409825" cy="34385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G58</a:t>
          </a:r>
          <a:r>
            <a:rPr lang="ja-JP" altLang="en-US" sz="1100" b="1" i="0">
              <a:solidFill>
                <a:srgbClr val="FFFFFF"/>
              </a:solidFill>
              <a:latin typeface="+mn-lt"/>
            </a:rPr>
            <a:t>セル：ﾌﾘｶﾞﾅ </a:t>
          </a:r>
          <a:endParaRPr lang="en-US" altLang="ja-JP" sz="1100" b="1" i="0">
            <a:solidFill>
              <a:srgbClr val="FFFFFF"/>
            </a:solidFill>
            <a:latin typeface="+mn-lt"/>
          </a:endParaRPr>
        </a:p>
        <a:p>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 </a:t>
          </a:r>
          <a:endParaRPr lang="en-US" altLang="ja-JP" sz="1100" b="1" i="0">
            <a:solidFill>
              <a:srgbClr val="FFFFFF"/>
            </a:solidFill>
            <a:latin typeface="+mn-lt"/>
          </a:endParaRPr>
        </a:p>
        <a:p>
          <a:r>
            <a:rPr lang="ja-JP" altLang="en-US" sz="1100" b="1" i="0">
              <a:solidFill>
                <a:srgbClr val="FFFFFF"/>
              </a:solidFill>
              <a:latin typeface="+mn-lt"/>
            </a:rPr>
            <a:t>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83" name="テキスト ボックス 22">
          <a:extLst>
            <a:ext uri="{FF2B5EF4-FFF2-40B4-BE49-F238E27FC236}">
              <a16:creationId xmlns:a16="http://schemas.microsoft.com/office/drawing/2014/main" id="{00000000-0008-0000-2100-000017000000}"/>
            </a:ext>
          </a:extLst>
        </xdr:cNvPr>
        <xdr:cNvSpPr txBox="1"/>
      </xdr:nvSpPr>
      <xdr:spPr>
        <a:xfrm>
          <a:off x="11287125" y="10858500"/>
          <a:ext cx="2247901" cy="8286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84" name="テキスト ボックス 17">
          <a:extLst>
            <a:ext uri="{FF2B5EF4-FFF2-40B4-BE49-F238E27FC236}">
              <a16:creationId xmlns:a16="http://schemas.microsoft.com/office/drawing/2014/main" id="{00000000-0008-0000-2100-000018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85" name="テキスト ボックス 18">
          <a:extLst>
            <a:ext uri="{FF2B5EF4-FFF2-40B4-BE49-F238E27FC236}">
              <a16:creationId xmlns:a16="http://schemas.microsoft.com/office/drawing/2014/main" id="{00000000-0008-0000-2100-000019000000}"/>
            </a:ext>
          </a:extLst>
        </xdr:cNvPr>
        <xdr:cNvSpPr txBox="1"/>
      </xdr:nvSpPr>
      <xdr:spPr>
        <a:xfrm>
          <a:off x="6619875" y="5553075"/>
          <a:ext cx="5743575" cy="2286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86" name="テキスト ボックス 25">
          <a:extLst>
            <a:ext uri="{FF2B5EF4-FFF2-40B4-BE49-F238E27FC236}">
              <a16:creationId xmlns:a16="http://schemas.microsoft.com/office/drawing/2014/main" id="{00000000-0008-0000-2100-00001A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87" name="テキスト ボックス 7">
          <a:extLst>
            <a:ext uri="{FF2B5EF4-FFF2-40B4-BE49-F238E27FC236}">
              <a16:creationId xmlns:a16="http://schemas.microsoft.com/office/drawing/2014/main" id="{00000000-0008-0000-2100-00001B000000}"/>
            </a:ext>
          </a:extLst>
        </xdr:cNvPr>
        <xdr:cNvSpPr txBox="1"/>
      </xdr:nvSpPr>
      <xdr:spPr>
        <a:xfrm>
          <a:off x="6629400" y="9648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88" name="テキスト ボックス 21">
          <a:extLst>
            <a:ext uri="{FF2B5EF4-FFF2-40B4-BE49-F238E27FC236}">
              <a16:creationId xmlns:a16="http://schemas.microsoft.com/office/drawing/2014/main" id="{00000000-0008-0000-2100-00001C000000}"/>
            </a:ext>
          </a:extLst>
        </xdr:cNvPr>
        <xdr:cNvSpPr txBox="1"/>
      </xdr:nvSpPr>
      <xdr:spPr>
        <a:xfrm>
          <a:off x="6924675" y="27241500"/>
          <a:ext cx="2247835" cy="17049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2200-00000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2200-00000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2200-00000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2200-00000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2200-00000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2200-00000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2200-00000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2200-00000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2200-00000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2200-00000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2200-00000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2200-00000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14" name="グループ化 15">
          <a:hlinkClick xmlns:r="http://schemas.openxmlformats.org/officeDocument/2006/relationships" r:id="rId1"/>
          <a:extLst>
            <a:ext uri="{FF2B5EF4-FFF2-40B4-BE49-F238E27FC236}">
              <a16:creationId xmlns:a16="http://schemas.microsoft.com/office/drawing/2014/main" id="{00000000-0008-0000-2200-00000E000000}"/>
            </a:ext>
          </a:extLst>
        </xdr:cNvPr>
        <xdr:cNvGrpSpPr>
          <a:grpSpLocks/>
        </xdr:cNvGrpSpPr>
      </xdr:nvGrpSpPr>
      <xdr:grpSpPr bwMode="auto">
        <a:xfrm>
          <a:off x="6629400" y="0"/>
          <a:ext cx="1562128" cy="704552"/>
          <a:chOff x="7896221" y="0"/>
          <a:chExt cx="1566617" cy="781050"/>
        </a:xfrm>
      </xdr:grpSpPr>
      <xdr:sp macro="" textlink="">
        <xdr:nvSpPr>
          <xdr:cNvPr id="15" name="円/楕円 112">
            <a:extLst>
              <a:ext uri="{FF2B5EF4-FFF2-40B4-BE49-F238E27FC236}">
                <a16:creationId xmlns:a16="http://schemas.microsoft.com/office/drawing/2014/main" id="{00000000-0008-0000-2200-00000F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0</xdr:row>
      <xdr:rowOff>0</xdr:rowOff>
    </xdr:from>
    <xdr:to>
      <xdr:col>21</xdr:col>
      <xdr:colOff>9441</xdr:colOff>
      <xdr:row>1</xdr:row>
      <xdr:rowOff>85725</xdr:rowOff>
    </xdr:to>
    <xdr:sp macro="" textlink="">
      <xdr:nvSpPr>
        <xdr:cNvPr id="89" name="テキスト ボックス 16">
          <a:extLst>
            <a:ext uri="{FF2B5EF4-FFF2-40B4-BE49-F238E27FC236}">
              <a16:creationId xmlns:a16="http://schemas.microsoft.com/office/drawing/2014/main" id="{00000000-0008-0000-2200-000011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90" name="テキスト ボックス 17">
          <a:extLst>
            <a:ext uri="{FF2B5EF4-FFF2-40B4-BE49-F238E27FC236}">
              <a16:creationId xmlns:a16="http://schemas.microsoft.com/office/drawing/2014/main" id="{00000000-0008-0000-2200-000012000000}"/>
            </a:ext>
          </a:extLst>
        </xdr:cNvPr>
        <xdr:cNvSpPr txBox="1"/>
      </xdr:nvSpPr>
      <xdr:spPr>
        <a:xfrm>
          <a:off x="6629400" y="742950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91" name="テキスト ボックス 18">
          <a:extLst>
            <a:ext uri="{FF2B5EF4-FFF2-40B4-BE49-F238E27FC236}">
              <a16:creationId xmlns:a16="http://schemas.microsoft.com/office/drawing/2014/main" id="{00000000-0008-0000-2200-000013000000}"/>
            </a:ext>
          </a:extLst>
        </xdr:cNvPr>
        <xdr:cNvSpPr txBox="1"/>
      </xdr:nvSpPr>
      <xdr:spPr>
        <a:xfrm>
          <a:off x="6629400" y="2095500"/>
          <a:ext cx="2369820" cy="981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123899</xdr:rowOff>
    </xdr:to>
    <xdr:sp macro="" textlink="">
      <xdr:nvSpPr>
        <xdr:cNvPr id="92" name="テキスト ボックス 19">
          <a:extLst>
            <a:ext uri="{FF2B5EF4-FFF2-40B4-BE49-F238E27FC236}">
              <a16:creationId xmlns:a16="http://schemas.microsoft.com/office/drawing/2014/main" id="{00000000-0008-0000-2200-000014000000}"/>
            </a:ext>
          </a:extLst>
        </xdr:cNvPr>
        <xdr:cNvSpPr txBox="1"/>
      </xdr:nvSpPr>
      <xdr:spPr>
        <a:xfrm>
          <a:off x="6629400" y="9753599"/>
          <a:ext cx="2409825" cy="35528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 G58</a:t>
          </a:r>
          <a:r>
            <a:rPr lang="ja-JP" altLang="en-US" sz="1100" b="1" i="0">
              <a:solidFill>
                <a:srgbClr val="FFFFFF"/>
              </a:solidFill>
              <a:latin typeface="+mn-lt"/>
            </a:rPr>
            <a:t>セル：ﾌﾘｶﾞﾅ</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a:t>
          </a:r>
          <a:endParaRPr lang="en-US" altLang="ja-JP" sz="1100" b="1" i="0">
            <a:solidFill>
              <a:srgbClr val="FFFFFF"/>
            </a:solidFill>
            <a:latin typeface="+mn-lt"/>
          </a:endParaRPr>
        </a:p>
        <a:p>
          <a:r>
            <a:rPr lang="ja-JP" altLang="en-US" sz="1100" b="1" i="0">
              <a:solidFill>
                <a:srgbClr val="FFFFFF"/>
              </a:solidFill>
              <a:latin typeface="+mn-lt"/>
            </a:rPr>
            <a:t> 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93" name="テキスト ボックス 20">
          <a:extLst>
            <a:ext uri="{FF2B5EF4-FFF2-40B4-BE49-F238E27FC236}">
              <a16:creationId xmlns:a16="http://schemas.microsoft.com/office/drawing/2014/main" id="{00000000-0008-0000-2200-000015000000}"/>
            </a:ext>
          </a:extLst>
        </xdr:cNvPr>
        <xdr:cNvSpPr txBox="1"/>
      </xdr:nvSpPr>
      <xdr:spPr>
        <a:xfrm>
          <a:off x="11287125" y="9925050"/>
          <a:ext cx="2247901" cy="7524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94" name="テキスト ボックス 17">
          <a:extLst>
            <a:ext uri="{FF2B5EF4-FFF2-40B4-BE49-F238E27FC236}">
              <a16:creationId xmlns:a16="http://schemas.microsoft.com/office/drawing/2014/main" id="{00000000-0008-0000-2200-000016000000}"/>
            </a:ext>
          </a:extLst>
        </xdr:cNvPr>
        <xdr:cNvSpPr txBox="1"/>
      </xdr:nvSpPr>
      <xdr:spPr>
        <a:xfrm>
          <a:off x="6638925" y="11715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95" name="テキスト ボックス 18">
          <a:extLst>
            <a:ext uri="{FF2B5EF4-FFF2-40B4-BE49-F238E27FC236}">
              <a16:creationId xmlns:a16="http://schemas.microsoft.com/office/drawing/2014/main" id="{00000000-0008-0000-2200-000017000000}"/>
            </a:ext>
          </a:extLst>
        </xdr:cNvPr>
        <xdr:cNvSpPr txBox="1"/>
      </xdr:nvSpPr>
      <xdr:spPr>
        <a:xfrm>
          <a:off x="6619875" y="5057775"/>
          <a:ext cx="5743575" cy="2057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96" name="テキスト ボックス 23">
          <a:extLst>
            <a:ext uri="{FF2B5EF4-FFF2-40B4-BE49-F238E27FC236}">
              <a16:creationId xmlns:a16="http://schemas.microsoft.com/office/drawing/2014/main" id="{00000000-0008-0000-2200-000018000000}"/>
            </a:ext>
          </a:extLst>
        </xdr:cNvPr>
        <xdr:cNvSpPr txBox="1"/>
      </xdr:nvSpPr>
      <xdr:spPr>
        <a:xfrm>
          <a:off x="6629400" y="79629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97" name="テキスト ボックス 7">
          <a:extLst>
            <a:ext uri="{FF2B5EF4-FFF2-40B4-BE49-F238E27FC236}">
              <a16:creationId xmlns:a16="http://schemas.microsoft.com/office/drawing/2014/main" id="{00000000-0008-0000-2200-000019000000}"/>
            </a:ext>
          </a:extLst>
        </xdr:cNvPr>
        <xdr:cNvSpPr txBox="1"/>
      </xdr:nvSpPr>
      <xdr:spPr>
        <a:xfrm>
          <a:off x="6629400" y="88296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98" name="テキスト ボックス 21">
          <a:extLst>
            <a:ext uri="{FF2B5EF4-FFF2-40B4-BE49-F238E27FC236}">
              <a16:creationId xmlns:a16="http://schemas.microsoft.com/office/drawing/2014/main" id="{00000000-0008-0000-2200-00001A000000}"/>
            </a:ext>
          </a:extLst>
        </xdr:cNvPr>
        <xdr:cNvSpPr txBox="1"/>
      </xdr:nvSpPr>
      <xdr:spPr>
        <a:xfrm>
          <a:off x="6924675" y="24669750"/>
          <a:ext cx="2247835" cy="16668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2300-000001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2300-000002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2300-000003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2300-000004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2300-000005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2300-000006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2300-00000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2300-000008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2300-00000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2300-00000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2300-00000B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2300-00000C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99" name="テキスト ボックス 4">
          <a:extLst>
            <a:ext uri="{FF2B5EF4-FFF2-40B4-BE49-F238E27FC236}">
              <a16:creationId xmlns:a16="http://schemas.microsoft.com/office/drawing/2014/main" id="{00000000-0008-0000-23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0" name="テキスト ボックス 5">
          <a:extLst>
            <a:ext uri="{FF2B5EF4-FFF2-40B4-BE49-F238E27FC236}">
              <a16:creationId xmlns:a16="http://schemas.microsoft.com/office/drawing/2014/main" id="{00000000-0008-0000-23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1" name="テキスト ボックス 6">
          <a:extLst>
            <a:ext uri="{FF2B5EF4-FFF2-40B4-BE49-F238E27FC236}">
              <a16:creationId xmlns:a16="http://schemas.microsoft.com/office/drawing/2014/main" id="{00000000-0008-0000-23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2" name="テキスト ボックス 7">
          <a:extLst>
            <a:ext uri="{FF2B5EF4-FFF2-40B4-BE49-F238E27FC236}">
              <a16:creationId xmlns:a16="http://schemas.microsoft.com/office/drawing/2014/main" id="{00000000-0008-0000-2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3" name="テキスト ボックス 8">
          <a:extLst>
            <a:ext uri="{FF2B5EF4-FFF2-40B4-BE49-F238E27FC236}">
              <a16:creationId xmlns:a16="http://schemas.microsoft.com/office/drawing/2014/main" id="{00000000-0008-0000-2300-000009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04" name="テキスト ボックス 7">
          <a:extLst>
            <a:ext uri="{FF2B5EF4-FFF2-40B4-BE49-F238E27FC236}">
              <a16:creationId xmlns:a16="http://schemas.microsoft.com/office/drawing/2014/main" id="{00000000-0008-0000-2300-00000A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4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4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05" name="テキスト ボックス 4">
          <a:extLst>
            <a:ext uri="{FF2B5EF4-FFF2-40B4-BE49-F238E27FC236}">
              <a16:creationId xmlns:a16="http://schemas.microsoft.com/office/drawing/2014/main" id="{00000000-0008-0000-24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6" name="テキスト ボックス 5">
          <a:extLst>
            <a:ext uri="{FF2B5EF4-FFF2-40B4-BE49-F238E27FC236}">
              <a16:creationId xmlns:a16="http://schemas.microsoft.com/office/drawing/2014/main" id="{00000000-0008-0000-24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7" name="テキスト ボックス 6">
          <a:extLst>
            <a:ext uri="{FF2B5EF4-FFF2-40B4-BE49-F238E27FC236}">
              <a16:creationId xmlns:a16="http://schemas.microsoft.com/office/drawing/2014/main" id="{00000000-0008-0000-24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8" name="テキスト ボックス 8">
          <a:extLst>
            <a:ext uri="{FF2B5EF4-FFF2-40B4-BE49-F238E27FC236}">
              <a16:creationId xmlns:a16="http://schemas.microsoft.com/office/drawing/2014/main" id="{00000000-0008-0000-24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9" name="テキスト ボックス 9">
          <a:extLst>
            <a:ext uri="{FF2B5EF4-FFF2-40B4-BE49-F238E27FC236}">
              <a16:creationId xmlns:a16="http://schemas.microsoft.com/office/drawing/2014/main" id="{00000000-0008-0000-2400-00000A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10" name="テキスト ボックス 7">
          <a:extLst>
            <a:ext uri="{FF2B5EF4-FFF2-40B4-BE49-F238E27FC236}">
              <a16:creationId xmlns:a16="http://schemas.microsoft.com/office/drawing/2014/main" id="{00000000-0008-0000-2400-00000B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111" name="テキスト ボックス 4">
          <a:extLst>
            <a:ext uri="{FF2B5EF4-FFF2-40B4-BE49-F238E27FC236}">
              <a16:creationId xmlns:a16="http://schemas.microsoft.com/office/drawing/2014/main" id="{00000000-0008-0000-25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2" name="テキスト ボックス 5">
          <a:extLst>
            <a:ext uri="{FF2B5EF4-FFF2-40B4-BE49-F238E27FC236}">
              <a16:creationId xmlns:a16="http://schemas.microsoft.com/office/drawing/2014/main" id="{00000000-0008-0000-25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13" name="テキスト ボックス 6">
          <a:extLst>
            <a:ext uri="{FF2B5EF4-FFF2-40B4-BE49-F238E27FC236}">
              <a16:creationId xmlns:a16="http://schemas.microsoft.com/office/drawing/2014/main" id="{00000000-0008-0000-25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14" name="テキスト ボックス 8">
          <a:extLst>
            <a:ext uri="{FF2B5EF4-FFF2-40B4-BE49-F238E27FC236}">
              <a16:creationId xmlns:a16="http://schemas.microsoft.com/office/drawing/2014/main" id="{00000000-0008-0000-2500-000009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15" name="テキスト ボックス 9">
          <a:extLst>
            <a:ext uri="{FF2B5EF4-FFF2-40B4-BE49-F238E27FC236}">
              <a16:creationId xmlns:a16="http://schemas.microsoft.com/office/drawing/2014/main" id="{00000000-0008-0000-2500-00000A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16" name="テキスト ボックス 10">
          <a:extLst>
            <a:ext uri="{FF2B5EF4-FFF2-40B4-BE49-F238E27FC236}">
              <a16:creationId xmlns:a16="http://schemas.microsoft.com/office/drawing/2014/main" id="{00000000-0008-0000-2500-00000B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17" name="テキスト ボックス 7">
          <a:extLst>
            <a:ext uri="{FF2B5EF4-FFF2-40B4-BE49-F238E27FC236}">
              <a16:creationId xmlns:a16="http://schemas.microsoft.com/office/drawing/2014/main" id="{00000000-0008-0000-2500-00000C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39</xdr:col>
      <xdr:colOff>0</xdr:colOff>
      <xdr:row>35</xdr:row>
      <xdr:rowOff>0</xdr:rowOff>
    </xdr:from>
    <xdr:to>
      <xdr:col>63</xdr:col>
      <xdr:colOff>200034</xdr:colOff>
      <xdr:row>46</xdr:row>
      <xdr:rowOff>114598</xdr:rowOff>
    </xdr:to>
    <xdr:pic>
      <xdr:nvPicPr>
        <xdr:cNvPr id="2" name="図 1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43925" y="6667500"/>
          <a:ext cx="545782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0</xdr:colOff>
      <xdr:row>7</xdr:row>
      <xdr:rowOff>0</xdr:rowOff>
    </xdr:from>
    <xdr:to>
      <xdr:col>65</xdr:col>
      <xdr:colOff>180994</xdr:colOff>
      <xdr:row>33</xdr:row>
      <xdr:rowOff>47625</xdr:rowOff>
    </xdr:to>
    <xdr:pic>
      <xdr:nvPicPr>
        <xdr:cNvPr id="3" name="図 1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43925" y="1333500"/>
          <a:ext cx="5876925"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95203</xdr:colOff>
      <xdr:row>35</xdr:row>
      <xdr:rowOff>133201</xdr:rowOff>
    </xdr:from>
    <xdr:to>
      <xdr:col>5</xdr:col>
      <xdr:colOff>133285</xdr:colOff>
      <xdr:row>38</xdr:row>
      <xdr:rowOff>171152</xdr:rowOff>
    </xdr:to>
    <xdr:grpSp>
      <xdr:nvGrpSpPr>
        <xdr:cNvPr id="4" name="グループ化 3">
          <a:hlinkClick xmlns:r="http://schemas.openxmlformats.org/officeDocument/2006/relationships" r:id="rId3"/>
          <a:extLst>
            <a:ext uri="{FF2B5EF4-FFF2-40B4-BE49-F238E27FC236}">
              <a16:creationId xmlns:a16="http://schemas.microsoft.com/office/drawing/2014/main" id="{00000000-0008-0000-0900-000004000000}"/>
            </a:ext>
          </a:extLst>
        </xdr:cNvPr>
        <xdr:cNvGrpSpPr>
          <a:grpSpLocks/>
        </xdr:cNvGrpSpPr>
      </xdr:nvGrpSpPr>
      <xdr:grpSpPr bwMode="auto">
        <a:xfrm>
          <a:off x="314278" y="6800701"/>
          <a:ext cx="914382" cy="609451"/>
          <a:chOff x="8122440" y="0"/>
          <a:chExt cx="1143003" cy="806380"/>
        </a:xfrm>
      </xdr:grpSpPr>
      <xdr:sp macro="" textlink="">
        <xdr:nvSpPr>
          <xdr:cNvPr id="5" name="円/楕円 112">
            <a:extLst>
              <a:ext uri="{FF2B5EF4-FFF2-40B4-BE49-F238E27FC236}">
                <a16:creationId xmlns:a16="http://schemas.microsoft.com/office/drawing/2014/main" id="{00000000-0008-0000-0900-000005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twoCellAnchor>
    <xdr:from>
      <xdr:col>41</xdr:col>
      <xdr:colOff>104831</xdr:colOff>
      <xdr:row>38</xdr:row>
      <xdr:rowOff>133201</xdr:rowOff>
    </xdr:from>
    <xdr:to>
      <xdr:col>53</xdr:col>
      <xdr:colOff>85790</xdr:colOff>
      <xdr:row>39</xdr:row>
      <xdr:rowOff>162223</xdr:rowOff>
    </xdr:to>
    <xdr:sp macro="" textlink="">
      <xdr:nvSpPr>
        <xdr:cNvPr id="7" name="四角形: 角を丸くする 2">
          <a:extLst>
            <a:ext uri="{FF2B5EF4-FFF2-40B4-BE49-F238E27FC236}">
              <a16:creationId xmlns:a16="http://schemas.microsoft.com/office/drawing/2014/main" id="{00000000-0008-0000-0900-000007000000}"/>
            </a:ext>
          </a:extLst>
        </xdr:cNvPr>
        <xdr:cNvSpPr/>
      </xdr:nvSpPr>
      <xdr:spPr>
        <a:xfrm>
          <a:off x="9086850" y="7372350"/>
          <a:ext cx="2609850" cy="219075"/>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42</xdr:col>
      <xdr:colOff>171366</xdr:colOff>
      <xdr:row>8</xdr:row>
      <xdr:rowOff>133201</xdr:rowOff>
    </xdr:from>
    <xdr:to>
      <xdr:col>51</xdr:col>
      <xdr:colOff>190407</xdr:colOff>
      <xdr:row>33</xdr:row>
      <xdr:rowOff>9674</xdr:rowOff>
    </xdr:to>
    <xdr:sp macro="" textlink="">
      <xdr:nvSpPr>
        <xdr:cNvPr id="8" name="四角形: 角を丸くする 10">
          <a:extLst>
            <a:ext uri="{FF2B5EF4-FFF2-40B4-BE49-F238E27FC236}">
              <a16:creationId xmlns:a16="http://schemas.microsoft.com/office/drawing/2014/main" id="{00000000-0008-0000-0900-000008000000}"/>
            </a:ext>
          </a:extLst>
        </xdr:cNvPr>
        <xdr:cNvSpPr/>
      </xdr:nvSpPr>
      <xdr:spPr>
        <a:xfrm>
          <a:off x="9372600" y="1657350"/>
          <a:ext cx="1990725" cy="4638674"/>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21</xdr:col>
      <xdr:colOff>38081</xdr:colOff>
      <xdr:row>5</xdr:row>
      <xdr:rowOff>142875</xdr:rowOff>
    </xdr:from>
    <xdr:to>
      <xdr:col>36</xdr:col>
      <xdr:colOff>200034</xdr:colOff>
      <xdr:row>18</xdr:row>
      <xdr:rowOff>75902</xdr:rowOff>
    </xdr:to>
    <xdr:sp macro="" textlink="">
      <xdr:nvSpPr>
        <xdr:cNvPr id="2054" name="Picture 2054">
          <a:extLst>
            <a:ext uri="{FF2B5EF4-FFF2-40B4-BE49-F238E27FC236}">
              <a16:creationId xmlns:a16="http://schemas.microsoft.com/office/drawing/2014/main" id="{00000000-0008-0000-0900-000006080000}"/>
            </a:ext>
          </a:extLst>
        </xdr:cNvPr>
        <xdr:cNvSpPr/>
      </xdr:nvSpPr>
      <xdr:spPr>
        <a:xfrm flipV="1">
          <a:off x="4638675" y="1095375"/>
          <a:ext cx="3448050" cy="2409826"/>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19</xdr:col>
      <xdr:colOff>95203</xdr:colOff>
      <xdr:row>19</xdr:row>
      <xdr:rowOff>123527</xdr:rowOff>
    </xdr:from>
    <xdr:to>
      <xdr:col>37</xdr:col>
      <xdr:colOff>0</xdr:colOff>
      <xdr:row>34</xdr:row>
      <xdr:rowOff>19348</xdr:rowOff>
    </xdr:to>
    <xdr:sp macro="" textlink="">
      <xdr:nvSpPr>
        <xdr:cNvPr id="2055" name="Picture 2055">
          <a:extLst>
            <a:ext uri="{FF2B5EF4-FFF2-40B4-BE49-F238E27FC236}">
              <a16:creationId xmlns:a16="http://schemas.microsoft.com/office/drawing/2014/main" id="{00000000-0008-0000-0900-000007080000}"/>
            </a:ext>
          </a:extLst>
        </xdr:cNvPr>
        <xdr:cNvSpPr/>
      </xdr:nvSpPr>
      <xdr:spPr>
        <a:xfrm>
          <a:off x="4257675" y="3743326"/>
          <a:ext cx="3848100" cy="2752724"/>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6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6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18" name="テキスト ボックス 4">
          <a:extLst>
            <a:ext uri="{FF2B5EF4-FFF2-40B4-BE49-F238E27FC236}">
              <a16:creationId xmlns:a16="http://schemas.microsoft.com/office/drawing/2014/main" id="{00000000-0008-0000-26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9" name="テキスト ボックス 5">
          <a:extLst>
            <a:ext uri="{FF2B5EF4-FFF2-40B4-BE49-F238E27FC236}">
              <a16:creationId xmlns:a16="http://schemas.microsoft.com/office/drawing/2014/main" id="{00000000-0008-0000-26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20" name="テキスト ボックス 6">
          <a:extLst>
            <a:ext uri="{FF2B5EF4-FFF2-40B4-BE49-F238E27FC236}">
              <a16:creationId xmlns:a16="http://schemas.microsoft.com/office/drawing/2014/main" id="{00000000-0008-0000-26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21" name="テキスト ボックス 7">
          <a:extLst>
            <a:ext uri="{FF2B5EF4-FFF2-40B4-BE49-F238E27FC236}">
              <a16:creationId xmlns:a16="http://schemas.microsoft.com/office/drawing/2014/main" id="{00000000-0008-0000-2600-000008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22" name="テキスト ボックス 8">
          <a:extLst>
            <a:ext uri="{FF2B5EF4-FFF2-40B4-BE49-F238E27FC236}">
              <a16:creationId xmlns:a16="http://schemas.microsoft.com/office/drawing/2014/main" id="{00000000-0008-0000-26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23" name="テキスト ボックス 9">
          <a:extLst>
            <a:ext uri="{FF2B5EF4-FFF2-40B4-BE49-F238E27FC236}">
              <a16:creationId xmlns:a16="http://schemas.microsoft.com/office/drawing/2014/main" id="{00000000-0008-0000-2600-00000A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24" name="テキスト ボックス 7">
          <a:extLst>
            <a:ext uri="{FF2B5EF4-FFF2-40B4-BE49-F238E27FC236}">
              <a16:creationId xmlns:a16="http://schemas.microsoft.com/office/drawing/2014/main" id="{00000000-0008-0000-2600-00000B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7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7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6</xdr:row>
      <xdr:rowOff>0</xdr:rowOff>
    </xdr:from>
    <xdr:to>
      <xdr:col>32</xdr:col>
      <xdr:colOff>159962</xdr:colOff>
      <xdr:row>7</xdr:row>
      <xdr:rowOff>85576</xdr:rowOff>
    </xdr:to>
    <xdr:sp macro="" textlink="">
      <xdr:nvSpPr>
        <xdr:cNvPr id="125" name="テキスト ボックス 4">
          <a:extLst>
            <a:ext uri="{FF2B5EF4-FFF2-40B4-BE49-F238E27FC236}">
              <a16:creationId xmlns:a16="http://schemas.microsoft.com/office/drawing/2014/main" id="{00000000-0008-0000-2700-000005000000}"/>
            </a:ext>
          </a:extLst>
        </xdr:cNvPr>
        <xdr:cNvSpPr txBox="1"/>
      </xdr:nvSpPr>
      <xdr:spPr>
        <a:xfrm>
          <a:off x="6629400" y="114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42</xdr:row>
      <xdr:rowOff>0</xdr:rowOff>
    </xdr:from>
    <xdr:to>
      <xdr:col>32</xdr:col>
      <xdr:colOff>159962</xdr:colOff>
      <xdr:row>43</xdr:row>
      <xdr:rowOff>85576</xdr:rowOff>
    </xdr:to>
    <xdr:sp macro="" textlink="">
      <xdr:nvSpPr>
        <xdr:cNvPr id="126" name="テキスト ボックス 5">
          <a:extLst>
            <a:ext uri="{FF2B5EF4-FFF2-40B4-BE49-F238E27FC236}">
              <a16:creationId xmlns:a16="http://schemas.microsoft.com/office/drawing/2014/main" id="{00000000-0008-0000-2700-000006000000}"/>
            </a:ext>
          </a:extLst>
        </xdr:cNvPr>
        <xdr:cNvSpPr txBox="1"/>
      </xdr:nvSpPr>
      <xdr:spPr>
        <a:xfrm>
          <a:off x="6629400" y="8001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仕様目的を入力してください</a:t>
          </a:r>
        </a:p>
      </xdr:txBody>
    </xdr:sp>
    <xdr:clientData fPrintsWithSheet="0"/>
  </xdr:twoCellAnchor>
  <xdr:twoCellAnchor>
    <xdr:from>
      <xdr:col>24</xdr:col>
      <xdr:colOff>0</xdr:colOff>
      <xdr:row>38</xdr:row>
      <xdr:rowOff>0</xdr:rowOff>
    </xdr:from>
    <xdr:to>
      <xdr:col>32</xdr:col>
      <xdr:colOff>171562</xdr:colOff>
      <xdr:row>40</xdr:row>
      <xdr:rowOff>0</xdr:rowOff>
    </xdr:to>
    <xdr:sp macro="" textlink="">
      <xdr:nvSpPr>
        <xdr:cNvPr id="127" name="テキスト ボックス 6">
          <a:extLst>
            <a:ext uri="{FF2B5EF4-FFF2-40B4-BE49-F238E27FC236}">
              <a16:creationId xmlns:a16="http://schemas.microsoft.com/office/drawing/2014/main" id="{00000000-0008-0000-2700-000007000000}"/>
            </a:ext>
          </a:extLst>
        </xdr:cNvPr>
        <xdr:cNvSpPr txBox="1"/>
      </xdr:nvSpPr>
      <xdr:spPr>
        <a:xfrm>
          <a:off x="6629400" y="7239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交付希望部数を入力してください。</a:t>
          </a:r>
        </a:p>
      </xdr:txBody>
    </xdr:sp>
    <xdr:clientData fPrintsWithSheet="0"/>
  </xdr:twoCellAnchor>
  <xdr:twoCellAnchor>
    <xdr:from>
      <xdr:col>24</xdr:col>
      <xdr:colOff>0</xdr:colOff>
      <xdr:row>30</xdr:row>
      <xdr:rowOff>0</xdr:rowOff>
    </xdr:from>
    <xdr:to>
      <xdr:col>32</xdr:col>
      <xdr:colOff>171562</xdr:colOff>
      <xdr:row>32</xdr:row>
      <xdr:rowOff>0</xdr:rowOff>
    </xdr:to>
    <xdr:sp macro="" textlink="">
      <xdr:nvSpPr>
        <xdr:cNvPr id="128" name="テキスト ボックス 7">
          <a:extLst>
            <a:ext uri="{FF2B5EF4-FFF2-40B4-BE49-F238E27FC236}">
              <a16:creationId xmlns:a16="http://schemas.microsoft.com/office/drawing/2014/main" id="{00000000-0008-0000-2700-000008000000}"/>
            </a:ext>
          </a:extLst>
        </xdr:cNvPr>
        <xdr:cNvSpPr txBox="1"/>
      </xdr:nvSpPr>
      <xdr:spPr>
        <a:xfrm>
          <a:off x="6629400" y="5715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不明な場合、窓口で記入してください</a:t>
          </a:r>
        </a:p>
      </xdr:txBody>
    </xdr:sp>
    <xdr:clientData fPrintsWithSheet="0"/>
  </xdr:twoCellAnchor>
  <xdr:twoCellAnchor>
    <xdr:from>
      <xdr:col>24</xdr:col>
      <xdr:colOff>0</xdr:colOff>
      <xdr:row>34</xdr:row>
      <xdr:rowOff>0</xdr:rowOff>
    </xdr:from>
    <xdr:to>
      <xdr:col>32</xdr:col>
      <xdr:colOff>171562</xdr:colOff>
      <xdr:row>36</xdr:row>
      <xdr:rowOff>0</xdr:rowOff>
    </xdr:to>
    <xdr:sp macro="" textlink="">
      <xdr:nvSpPr>
        <xdr:cNvPr id="129" name="テキスト ボックス 8">
          <a:extLst>
            <a:ext uri="{FF2B5EF4-FFF2-40B4-BE49-F238E27FC236}">
              <a16:creationId xmlns:a16="http://schemas.microsoft.com/office/drawing/2014/main" id="{00000000-0008-0000-2700-000009000000}"/>
            </a:ext>
          </a:extLst>
        </xdr:cNvPr>
        <xdr:cNvSpPr txBox="1"/>
      </xdr:nvSpPr>
      <xdr:spPr>
        <a:xfrm>
          <a:off x="6629400" y="6477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地番を入力してください。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130" name="テキスト ボックス 9">
          <a:extLst>
            <a:ext uri="{FF2B5EF4-FFF2-40B4-BE49-F238E27FC236}">
              <a16:creationId xmlns:a16="http://schemas.microsoft.com/office/drawing/2014/main" id="{00000000-0008-0000-2700-00000A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11</xdr:row>
      <xdr:rowOff>0</xdr:rowOff>
    </xdr:from>
    <xdr:to>
      <xdr:col>32</xdr:col>
      <xdr:colOff>159962</xdr:colOff>
      <xdr:row>12</xdr:row>
      <xdr:rowOff>85576</xdr:rowOff>
    </xdr:to>
    <xdr:sp macro="" textlink="">
      <xdr:nvSpPr>
        <xdr:cNvPr id="131" name="テキスト ボックス 10">
          <a:extLst>
            <a:ext uri="{FF2B5EF4-FFF2-40B4-BE49-F238E27FC236}">
              <a16:creationId xmlns:a16="http://schemas.microsoft.com/office/drawing/2014/main" id="{00000000-0008-0000-2700-00000B000000}"/>
            </a:ext>
          </a:extLst>
        </xdr:cNvPr>
        <xdr:cNvSpPr txBox="1"/>
      </xdr:nvSpPr>
      <xdr:spPr>
        <a:xfrm>
          <a:off x="6629400" y="2095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必要事項を入力してください</a:t>
          </a:r>
        </a:p>
      </xdr:txBody>
    </xdr:sp>
    <xdr:clientData fPrintsWithSheet="0"/>
  </xdr:twoCellAnchor>
  <xdr:twoCellAnchor>
    <xdr:from>
      <xdr:col>24</xdr:col>
      <xdr:colOff>0</xdr:colOff>
      <xdr:row>17</xdr:row>
      <xdr:rowOff>0</xdr:rowOff>
    </xdr:from>
    <xdr:to>
      <xdr:col>32</xdr:col>
      <xdr:colOff>159962</xdr:colOff>
      <xdr:row>18</xdr:row>
      <xdr:rowOff>85576</xdr:rowOff>
    </xdr:to>
    <xdr:sp macro="" textlink="">
      <xdr:nvSpPr>
        <xdr:cNvPr id="132" name="テキスト ボックス 11">
          <a:extLst>
            <a:ext uri="{FF2B5EF4-FFF2-40B4-BE49-F238E27FC236}">
              <a16:creationId xmlns:a16="http://schemas.microsoft.com/office/drawing/2014/main" id="{00000000-0008-0000-2700-00000C000000}"/>
            </a:ext>
          </a:extLst>
        </xdr:cNvPr>
        <xdr:cNvSpPr txBox="1"/>
      </xdr:nvSpPr>
      <xdr:spPr>
        <a:xfrm>
          <a:off x="6629400" y="3238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建築主以外の場合、入力してください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33" name="テキスト ボックス 12">
          <a:extLst>
            <a:ext uri="{FF2B5EF4-FFF2-40B4-BE49-F238E27FC236}">
              <a16:creationId xmlns:a16="http://schemas.microsoft.com/office/drawing/2014/main" id="{00000000-0008-0000-2700-00000D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4" name="グループ化 5">
          <a:hlinkClick xmlns:r="http://schemas.openxmlformats.org/officeDocument/2006/relationships" r:id="rId1"/>
          <a:extLst>
            <a:ext uri="{FF2B5EF4-FFF2-40B4-BE49-F238E27FC236}">
              <a16:creationId xmlns:a16="http://schemas.microsoft.com/office/drawing/2014/main" id="{00000000-0008-0000-2800-000004000000}"/>
            </a:ext>
          </a:extLst>
        </xdr:cNvPr>
        <xdr:cNvGrpSpPr>
          <a:grpSpLocks/>
        </xdr:cNvGrpSpPr>
      </xdr:nvGrpSpPr>
      <xdr:grpSpPr bwMode="auto">
        <a:xfrm>
          <a:off x="6629400" y="0"/>
          <a:ext cx="1562128" cy="752177"/>
          <a:chOff x="7896221" y="0"/>
          <a:chExt cx="1566617" cy="781050"/>
        </a:xfrm>
      </xdr:grpSpPr>
      <xdr:sp macro="" textlink="">
        <xdr:nvSpPr>
          <xdr:cNvPr id="5" name="円/楕円 112">
            <a:extLst>
              <a:ext uri="{FF2B5EF4-FFF2-40B4-BE49-F238E27FC236}">
                <a16:creationId xmlns:a16="http://schemas.microsoft.com/office/drawing/2014/main" id="{00000000-0008-0000-2800-000005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85725</xdr:rowOff>
    </xdr:to>
    <xdr:sp macro="" textlink="">
      <xdr:nvSpPr>
        <xdr:cNvPr id="134" name="テキスト ボックス 6">
          <a:extLst>
            <a:ext uri="{FF2B5EF4-FFF2-40B4-BE49-F238E27FC236}">
              <a16:creationId xmlns:a16="http://schemas.microsoft.com/office/drawing/2014/main" id="{00000000-0008-0000-2800-000007000000}"/>
            </a:ext>
          </a:extLst>
        </xdr:cNvPr>
        <xdr:cNvSpPr txBox="1"/>
      </xdr:nvSpPr>
      <xdr:spPr>
        <a:xfrm>
          <a:off x="6629400" y="7334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27</xdr:row>
      <xdr:rowOff>95101</xdr:rowOff>
    </xdr:from>
    <xdr:to>
      <xdr:col>32</xdr:col>
      <xdr:colOff>171562</xdr:colOff>
      <xdr:row>32</xdr:row>
      <xdr:rowOff>0</xdr:rowOff>
    </xdr:to>
    <xdr:sp macro="" textlink="">
      <xdr:nvSpPr>
        <xdr:cNvPr id="135" name="テキスト ボックス 7">
          <a:extLst>
            <a:ext uri="{FF2B5EF4-FFF2-40B4-BE49-F238E27FC236}">
              <a16:creationId xmlns:a16="http://schemas.microsoft.com/office/drawing/2014/main" id="{00000000-0008-0000-2800-000008000000}"/>
            </a:ext>
          </a:extLst>
        </xdr:cNvPr>
        <xdr:cNvSpPr txBox="1"/>
      </xdr:nvSpPr>
      <xdr:spPr>
        <a:xfrm>
          <a:off x="6629400" y="4867275"/>
          <a:ext cx="2381250" cy="7810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から地番の情報を出力していますが、記載事項変更等届や計画変更申請で地番を変更した場合は、手入力で修正してください</a:t>
          </a:r>
        </a:p>
      </xdr:txBody>
    </xdr:sp>
    <xdr:clientData fPrintsWithSheet="0"/>
  </xdr:twoCellAnchor>
  <xdr:twoCellAnchor>
    <xdr:from>
      <xdr:col>24</xdr:col>
      <xdr:colOff>0</xdr:colOff>
      <xdr:row>40</xdr:row>
      <xdr:rowOff>0</xdr:rowOff>
    </xdr:from>
    <xdr:to>
      <xdr:col>32</xdr:col>
      <xdr:colOff>159962</xdr:colOff>
      <xdr:row>41</xdr:row>
      <xdr:rowOff>85725</xdr:rowOff>
    </xdr:to>
    <xdr:sp macro="" textlink="">
      <xdr:nvSpPr>
        <xdr:cNvPr id="136" name="テキスト ボックス 8">
          <a:extLst>
            <a:ext uri="{FF2B5EF4-FFF2-40B4-BE49-F238E27FC236}">
              <a16:creationId xmlns:a16="http://schemas.microsoft.com/office/drawing/2014/main" id="{00000000-0008-0000-2800-000009000000}"/>
            </a:ext>
          </a:extLst>
        </xdr:cNvPr>
        <xdr:cNvSpPr txBox="1"/>
      </xdr:nvSpPr>
      <xdr:spPr>
        <a:xfrm>
          <a:off x="6629400" y="70580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16</xdr:row>
      <xdr:rowOff>123899</xdr:rowOff>
    </xdr:to>
    <xdr:sp macro="" textlink="">
      <xdr:nvSpPr>
        <xdr:cNvPr id="137" name="テキスト ボックス 9">
          <a:extLst>
            <a:ext uri="{FF2B5EF4-FFF2-40B4-BE49-F238E27FC236}">
              <a16:creationId xmlns:a16="http://schemas.microsoft.com/office/drawing/2014/main" id="{00000000-0008-0000-2800-00000A000000}"/>
            </a:ext>
          </a:extLst>
        </xdr:cNvPr>
        <xdr:cNvSpPr txBox="1"/>
      </xdr:nvSpPr>
      <xdr:spPr>
        <a:xfrm>
          <a:off x="6629400" y="2466975"/>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建築主以外の場合に入力します。</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8</xdr:row>
      <xdr:rowOff>0</xdr:rowOff>
    </xdr:from>
    <xdr:to>
      <xdr:col>32</xdr:col>
      <xdr:colOff>159962</xdr:colOff>
      <xdr:row>11</xdr:row>
      <xdr:rowOff>180826</xdr:rowOff>
    </xdr:to>
    <xdr:sp macro="" textlink="">
      <xdr:nvSpPr>
        <xdr:cNvPr id="138" name="テキスト ボックス 10">
          <a:extLst>
            <a:ext uri="{FF2B5EF4-FFF2-40B4-BE49-F238E27FC236}">
              <a16:creationId xmlns:a16="http://schemas.microsoft.com/office/drawing/2014/main" id="{00000000-0008-0000-2800-00000B000000}"/>
            </a:ext>
          </a:extLst>
        </xdr:cNvPr>
        <xdr:cNvSpPr txBox="1"/>
      </xdr:nvSpPr>
      <xdr:spPr>
        <a:xfrm>
          <a:off x="6629400" y="1438275"/>
          <a:ext cx="2369820" cy="685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から代表の建築主の情報を出力していますが、これによらない場合は、手入力で修正してください</a:t>
          </a:r>
        </a:p>
      </xdr:txBody>
    </xdr:sp>
    <xdr:clientData fPrintsWithSheet="0"/>
  </xdr:twoCellAnchor>
  <xdr:twoCellAnchor>
    <xdr:from>
      <xdr:col>19</xdr:col>
      <xdr:colOff>19152</xdr:colOff>
      <xdr:row>0</xdr:row>
      <xdr:rowOff>0</xdr:rowOff>
    </xdr:from>
    <xdr:to>
      <xdr:col>23</xdr:col>
      <xdr:colOff>28594</xdr:colOff>
      <xdr:row>1</xdr:row>
      <xdr:rowOff>85725</xdr:rowOff>
    </xdr:to>
    <xdr:sp macro="" textlink="">
      <xdr:nvSpPr>
        <xdr:cNvPr id="139" name="テキスト ボックス 15">
          <a:extLst>
            <a:ext uri="{FF2B5EF4-FFF2-40B4-BE49-F238E27FC236}">
              <a16:creationId xmlns:a16="http://schemas.microsoft.com/office/drawing/2014/main" id="{00000000-0008-0000-2800-000010000000}"/>
            </a:ext>
          </a:extLst>
        </xdr:cNvPr>
        <xdr:cNvSpPr txBox="1"/>
      </xdr:nvSpPr>
      <xdr:spPr>
        <a:xfrm>
          <a:off x="52673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54</xdr:row>
      <xdr:rowOff>0</xdr:rowOff>
    </xdr:from>
    <xdr:to>
      <xdr:col>32</xdr:col>
      <xdr:colOff>159962</xdr:colOff>
      <xdr:row>60</xdr:row>
      <xdr:rowOff>38174</xdr:rowOff>
    </xdr:to>
    <xdr:sp macro="" textlink="">
      <xdr:nvSpPr>
        <xdr:cNvPr id="140" name="テキスト ボックス 16">
          <a:extLst>
            <a:ext uri="{FF2B5EF4-FFF2-40B4-BE49-F238E27FC236}">
              <a16:creationId xmlns:a16="http://schemas.microsoft.com/office/drawing/2014/main" id="{00000000-0008-0000-2800-000011000000}"/>
            </a:ext>
          </a:extLst>
        </xdr:cNvPr>
        <xdr:cNvSpPr txBox="1"/>
      </xdr:nvSpPr>
      <xdr:spPr>
        <a:xfrm>
          <a:off x="6629400" y="94964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連名の場合、添付してください。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から建築主</a:t>
          </a:r>
          <a:r>
            <a:rPr lang="en-US" altLang="ja-JP" sz="1100" b="1" i="0">
              <a:solidFill>
                <a:srgbClr val="FFFFFF"/>
              </a:solidFill>
              <a:latin typeface="+mn-lt"/>
            </a:rPr>
            <a:t>2</a:t>
          </a:r>
          <a:r>
            <a:rPr lang="ja-JP" altLang="en-US" sz="1100" b="1" i="0">
              <a:solidFill>
                <a:srgbClr val="FFFFFF"/>
              </a:solidFill>
              <a:latin typeface="+mn-lt"/>
            </a:rPr>
            <a:t>～</a:t>
          </a:r>
          <a:r>
            <a:rPr lang="en-US" altLang="ja-JP" sz="1100" b="1" i="0">
              <a:solidFill>
                <a:srgbClr val="FFFFFF"/>
              </a:solidFill>
              <a:latin typeface="+mn-lt"/>
            </a:rPr>
            <a:t>4</a:t>
          </a:r>
          <a:r>
            <a:rPr lang="ja-JP" altLang="en-US" sz="1100" b="1" i="0">
              <a:solidFill>
                <a:srgbClr val="FFFFFF"/>
              </a:solidFill>
              <a:latin typeface="+mn-lt"/>
            </a:rPr>
            <a:t>の情報を出力していますが、これによらない場合は、手入力で修正してください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108</xdr:row>
      <xdr:rowOff>0</xdr:rowOff>
    </xdr:from>
    <xdr:to>
      <xdr:col>32</xdr:col>
      <xdr:colOff>159962</xdr:colOff>
      <xdr:row>114</xdr:row>
      <xdr:rowOff>38174</xdr:rowOff>
    </xdr:to>
    <xdr:sp macro="" textlink="">
      <xdr:nvSpPr>
        <xdr:cNvPr id="141" name="テキスト ボックス 17">
          <a:extLst>
            <a:ext uri="{FF2B5EF4-FFF2-40B4-BE49-F238E27FC236}">
              <a16:creationId xmlns:a16="http://schemas.microsoft.com/office/drawing/2014/main" id="{00000000-0008-0000-2800-000012000000}"/>
            </a:ext>
          </a:extLst>
        </xdr:cNvPr>
        <xdr:cNvSpPr txBox="1"/>
      </xdr:nvSpPr>
      <xdr:spPr>
        <a:xfrm>
          <a:off x="6629400" y="187547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代理の場合、添付してください。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4</xdr:col>
          <xdr:colOff>57150</xdr:colOff>
          <xdr:row>28</xdr:row>
          <xdr:rowOff>9525</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2900-000001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180975</xdr:rowOff>
        </xdr:from>
        <xdr:to>
          <xdr:col>8</xdr:col>
          <xdr:colOff>57150</xdr:colOff>
          <xdr:row>28</xdr:row>
          <xdr:rowOff>9525</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2900-000002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126</xdr:row>
          <xdr:rowOff>180975</xdr:rowOff>
        </xdr:from>
        <xdr:to>
          <xdr:col>3</xdr:col>
          <xdr:colOff>57150</xdr:colOff>
          <xdr:row>128</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2900-000003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126</xdr:row>
          <xdr:rowOff>180975</xdr:rowOff>
        </xdr:from>
        <xdr:to>
          <xdr:col>7</xdr:col>
          <xdr:colOff>57150</xdr:colOff>
          <xdr:row>128</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2900-000004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126</xdr:row>
          <xdr:rowOff>180975</xdr:rowOff>
        </xdr:from>
        <xdr:to>
          <xdr:col>11</xdr:col>
          <xdr:colOff>57150</xdr:colOff>
          <xdr:row>128</xdr:row>
          <xdr:rowOff>9525</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2900-000005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127</xdr:row>
          <xdr:rowOff>180975</xdr:rowOff>
        </xdr:from>
        <xdr:to>
          <xdr:col>3</xdr:col>
          <xdr:colOff>57150</xdr:colOff>
          <xdr:row>129</xdr:row>
          <xdr:rowOff>9525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2900-000006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47597</xdr:colOff>
      <xdr:row>0</xdr:row>
      <xdr:rowOff>66601</xdr:rowOff>
    </xdr:from>
    <xdr:to>
      <xdr:col>31</xdr:col>
      <xdr:colOff>76219</xdr:colOff>
      <xdr:row>3</xdr:row>
      <xdr:rowOff>9041</xdr:rowOff>
    </xdr:to>
    <xdr:sp macro="" textlink="">
      <xdr:nvSpPr>
        <xdr:cNvPr id="2" name="楕円 4">
          <a:extLst>
            <a:ext uri="{FF2B5EF4-FFF2-40B4-BE49-F238E27FC236}">
              <a16:creationId xmlns:a16="http://schemas.microsoft.com/office/drawing/2014/main" id="{00000000-0008-0000-0A00-000002000000}"/>
            </a:ext>
          </a:extLst>
        </xdr:cNvPr>
        <xdr:cNvSpPr/>
      </xdr:nvSpPr>
      <xdr:spPr>
        <a:xfrm>
          <a:off x="4743450" y="66675"/>
          <a:ext cx="352425" cy="400050"/>
        </a:xfrm>
        <a:prstGeom prst="ellipse">
          <a:avLst/>
        </a:prstGeom>
        <a:solidFill>
          <a:srgbClr val="FFFF00"/>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20</xdr:col>
      <xdr:colOff>57085</xdr:colOff>
      <xdr:row>45</xdr:row>
      <xdr:rowOff>9190</xdr:rowOff>
    </xdr:from>
    <xdr:to>
      <xdr:col>21</xdr:col>
      <xdr:colOff>28622</xdr:colOff>
      <xdr:row>51</xdr:row>
      <xdr:rowOff>9190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3295650" y="8505825"/>
          <a:ext cx="133350" cy="1085850"/>
        </a:xfrm>
        <a:prstGeom prst="rightBrace">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28</xdr:col>
      <xdr:colOff>142949</xdr:colOff>
      <xdr:row>0</xdr:row>
      <xdr:rowOff>76274</xdr:rowOff>
    </xdr:from>
    <xdr:to>
      <xdr:col>32</xdr:col>
      <xdr:colOff>85706</xdr:colOff>
      <xdr:row>4</xdr:row>
      <xdr:rowOff>57262</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676775" y="76200"/>
          <a:ext cx="590550" cy="695325"/>
        </a:xfrm>
        <a:prstGeom prst="rect">
          <a:avLst/>
        </a:prstGeom>
        <a:no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000000"/>
              </a:solidFill>
              <a:latin typeface="ＭＳ Ｐゴシック"/>
              <a:ea typeface="ＭＳ Ｐゴシック"/>
              <a:cs typeface="ＭＳ Ｐゴシック"/>
            </a:rPr>
            <a:t>目次</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38174</xdr:colOff>
      <xdr:row>11</xdr:row>
      <xdr:rowOff>23217</xdr:rowOff>
    </xdr:from>
    <xdr:to>
      <xdr:col>5</xdr:col>
      <xdr:colOff>464790</xdr:colOff>
      <xdr:row>13</xdr:row>
      <xdr:rowOff>0</xdr:rowOff>
    </xdr:to>
    <xdr:sp macro="" textlink="">
      <xdr:nvSpPr>
        <xdr:cNvPr id="4"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7429574" y="2213967"/>
          <a:ext cx="1112416" cy="586383"/>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194890</xdr:colOff>
      <xdr:row>4</xdr:row>
      <xdr:rowOff>101203</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7391400" y="0"/>
          <a:ext cx="1566490" cy="767953"/>
          <a:chOff x="7896221" y="0"/>
          <a:chExt cx="1566617" cy="781050"/>
        </a:xfrm>
      </xdr:grpSpPr>
      <xdr:sp macro="" textlink="">
        <xdr:nvSpPr>
          <xdr:cNvPr id="3" name="円/楕円 112">
            <a:extLst>
              <a:ext uri="{FF2B5EF4-FFF2-40B4-BE49-F238E27FC236}">
                <a16:creationId xmlns:a16="http://schemas.microsoft.com/office/drawing/2014/main" id="{00000000-0008-0000-0C00-000003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4</xdr:col>
      <xdr:colOff>38174</xdr:colOff>
      <xdr:row>11</xdr:row>
      <xdr:rowOff>23217</xdr:rowOff>
    </xdr:from>
    <xdr:to>
      <xdr:col>5</xdr:col>
      <xdr:colOff>464790</xdr:colOff>
      <xdr:row>13</xdr:row>
      <xdr:rowOff>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C00-000005000000}"/>
            </a:ext>
          </a:extLst>
        </xdr:cNvPr>
        <xdr:cNvSpPr txBox="1"/>
      </xdr:nvSpPr>
      <xdr:spPr>
        <a:xfrm>
          <a:off x="7429501" y="2214111"/>
          <a:ext cx="1112520" cy="586239"/>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190388</xdr:colOff>
      <xdr:row>2</xdr:row>
      <xdr:rowOff>295275</xdr:rowOff>
    </xdr:from>
    <xdr:to>
      <xdr:col>14</xdr:col>
      <xdr:colOff>257156</xdr:colOff>
      <xdr:row>5</xdr:row>
      <xdr:rowOff>28910</xdr:rowOff>
    </xdr:to>
    <xdr:sp macro="" textlink="">
      <xdr:nvSpPr>
        <xdr:cNvPr id="2" name="Picture 1">
          <a:extLst>
            <a:ext uri="{FF2B5EF4-FFF2-40B4-BE49-F238E27FC236}">
              <a16:creationId xmlns:a16="http://schemas.microsoft.com/office/drawing/2014/main" id="{00000000-0008-0000-0E00-000002000000}"/>
            </a:ext>
          </a:extLst>
        </xdr:cNvPr>
        <xdr:cNvSpPr/>
      </xdr:nvSpPr>
      <xdr:spPr>
        <a:xfrm flipH="1">
          <a:off x="5915025" y="800100"/>
          <a:ext cx="476250" cy="438150"/>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47625</xdr:rowOff>
    </xdr:to>
    <xdr:sp macro="" textlink="">
      <xdr:nvSpPr>
        <xdr:cNvPr id="6" name="テキスト ボックス 23">
          <a:extLst>
            <a:ext uri="{FF2B5EF4-FFF2-40B4-BE49-F238E27FC236}">
              <a16:creationId xmlns:a16="http://schemas.microsoft.com/office/drawing/2014/main" id="{00000000-0008-0000-0E00-000018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7" name="テキスト ボックス 24">
          <a:extLst>
            <a:ext uri="{FF2B5EF4-FFF2-40B4-BE49-F238E27FC236}">
              <a16:creationId xmlns:a16="http://schemas.microsoft.com/office/drawing/2014/main" id="{00000000-0008-0000-0E00-000019000000}"/>
            </a:ext>
          </a:extLst>
        </xdr:cNvPr>
        <xdr:cNvSpPr txBox="1"/>
      </xdr:nvSpPr>
      <xdr:spPr>
        <a:xfrm>
          <a:off x="7010400" y="1209675"/>
          <a:ext cx="1685925" cy="1104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17</xdr:col>
      <xdr:colOff>200248</xdr:colOff>
      <xdr:row>0</xdr:row>
      <xdr:rowOff>57038</xdr:rowOff>
    </xdr:from>
    <xdr:to>
      <xdr:col>19</xdr:col>
      <xdr:colOff>395139</xdr:colOff>
      <xdr:row>2</xdr:row>
      <xdr:rowOff>285750</xdr:rowOff>
    </xdr:to>
    <xdr:grpSp>
      <xdr:nvGrpSpPr>
        <xdr:cNvPr id="26" name="グループ化 25">
          <a:hlinkClick xmlns:r="http://schemas.openxmlformats.org/officeDocument/2006/relationships" r:id="rId1"/>
          <a:extLst>
            <a:ext uri="{FF2B5EF4-FFF2-40B4-BE49-F238E27FC236}">
              <a16:creationId xmlns:a16="http://schemas.microsoft.com/office/drawing/2014/main" id="{00000000-0008-0000-0E00-00001A000000}"/>
            </a:ext>
          </a:extLst>
        </xdr:cNvPr>
        <xdr:cNvGrpSpPr/>
      </xdr:nvGrpSpPr>
      <xdr:grpSpPr>
        <a:xfrm>
          <a:off x="7896448" y="57038"/>
          <a:ext cx="1566491" cy="733537"/>
          <a:chOff x="8782046" y="57856"/>
          <a:chExt cx="1566617" cy="771407"/>
        </a:xfrm>
      </xdr:grpSpPr>
      <xdr:sp macro="" textlink="">
        <xdr:nvSpPr>
          <xdr:cNvPr id="27" name="円/楕円 112">
            <a:extLst>
              <a:ext uri="{FF2B5EF4-FFF2-40B4-BE49-F238E27FC236}">
                <a16:creationId xmlns:a16="http://schemas.microsoft.com/office/drawing/2014/main" id="{00000000-0008-0000-0E00-00001B000000}"/>
              </a:ext>
            </a:extLst>
          </xdr:cNvPr>
          <xdr:cNvSpPr/>
        </xdr:nvSpPr>
        <xdr:spPr>
          <a:xfrm>
            <a:off x="9239249" y="57856"/>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8782046" y="95005"/>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16</xdr:col>
      <xdr:colOff>0</xdr:colOff>
      <xdr:row>20</xdr:row>
      <xdr:rowOff>0</xdr:rowOff>
    </xdr:from>
    <xdr:to>
      <xdr:col>18</xdr:col>
      <xdr:colOff>314102</xdr:colOff>
      <xdr:row>27</xdr:row>
      <xdr:rowOff>162223</xdr:rowOff>
    </xdr:to>
    <xdr:sp macro="" textlink="">
      <xdr:nvSpPr>
        <xdr:cNvPr id="8" name="テキスト ボックス 28">
          <a:extLst>
            <a:ext uri="{FF2B5EF4-FFF2-40B4-BE49-F238E27FC236}">
              <a16:creationId xmlns:a16="http://schemas.microsoft.com/office/drawing/2014/main" id="{00000000-0008-0000-0E00-00001D000000}"/>
            </a:ext>
          </a:extLst>
        </xdr:cNvPr>
        <xdr:cNvSpPr txBox="1"/>
      </xdr:nvSpPr>
      <xdr:spPr>
        <a:xfrm>
          <a:off x="7010400" y="4752975"/>
          <a:ext cx="1685925" cy="1419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171450</xdr:rowOff>
        </xdr:from>
        <xdr:to>
          <xdr:col>14</xdr:col>
          <xdr:colOff>409575</xdr:colOff>
          <xdr:row>24</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000-00000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171450</xdr:rowOff>
        </xdr:from>
        <xdr:to>
          <xdr:col>14</xdr:col>
          <xdr:colOff>409575</xdr:colOff>
          <xdr:row>25</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000-00000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171450</xdr:rowOff>
        </xdr:from>
        <xdr:to>
          <xdr:col>14</xdr:col>
          <xdr:colOff>409575</xdr:colOff>
          <xdr:row>26</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000-00000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171450</xdr:rowOff>
        </xdr:from>
        <xdr:to>
          <xdr:col>14</xdr:col>
          <xdr:colOff>409575</xdr:colOff>
          <xdr:row>28</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000-00000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171450</xdr:rowOff>
        </xdr:from>
        <xdr:to>
          <xdr:col>14</xdr:col>
          <xdr:colOff>409575</xdr:colOff>
          <xdr:row>29</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000-00000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171450</xdr:rowOff>
        </xdr:from>
        <xdr:to>
          <xdr:col>14</xdr:col>
          <xdr:colOff>409575</xdr:colOff>
          <xdr:row>30</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000-00000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14</xdr:col>
          <xdr:colOff>409575</xdr:colOff>
          <xdr:row>31</xdr:row>
          <xdr:rowOff>19050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000-00000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14</xdr:col>
          <xdr:colOff>409575</xdr:colOff>
          <xdr:row>32</xdr:row>
          <xdr:rowOff>19050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000-00000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14</xdr:col>
          <xdr:colOff>409575</xdr:colOff>
          <xdr:row>33</xdr:row>
          <xdr:rowOff>19050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000-00000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180975</xdr:rowOff>
        </xdr:from>
        <xdr:to>
          <xdr:col>14</xdr:col>
          <xdr:colOff>409575</xdr:colOff>
          <xdr:row>34</xdr:row>
          <xdr:rowOff>9525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000-00000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180975</xdr:rowOff>
        </xdr:from>
        <xdr:to>
          <xdr:col>14</xdr:col>
          <xdr:colOff>409575</xdr:colOff>
          <xdr:row>35</xdr:row>
          <xdr:rowOff>9525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000-00000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57150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000-00000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14</xdr:col>
          <xdr:colOff>409575</xdr:colOff>
          <xdr:row>37</xdr:row>
          <xdr:rowOff>19050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000-00000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171450</xdr:rowOff>
        </xdr:from>
        <xdr:to>
          <xdr:col>14</xdr:col>
          <xdr:colOff>409575</xdr:colOff>
          <xdr:row>38</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000-00000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xdr:row>
          <xdr:rowOff>171450</xdr:rowOff>
        </xdr:from>
        <xdr:to>
          <xdr:col>14</xdr:col>
          <xdr:colOff>419100</xdr:colOff>
          <xdr:row>39</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000-00000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xdr:row>
          <xdr:rowOff>171450</xdr:rowOff>
        </xdr:from>
        <xdr:to>
          <xdr:col>14</xdr:col>
          <xdr:colOff>419100</xdr:colOff>
          <xdr:row>40</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000-00001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xdr:row>
          <xdr:rowOff>171450</xdr:rowOff>
        </xdr:from>
        <xdr:to>
          <xdr:col>14</xdr:col>
          <xdr:colOff>419100</xdr:colOff>
          <xdr:row>41</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000-00001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180975</xdr:rowOff>
        </xdr:from>
        <xdr:to>
          <xdr:col>14</xdr:col>
          <xdr:colOff>409575</xdr:colOff>
          <xdr:row>42</xdr:row>
          <xdr:rowOff>9525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000-00001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171450</xdr:rowOff>
        </xdr:from>
        <xdr:to>
          <xdr:col>14</xdr:col>
          <xdr:colOff>409575</xdr:colOff>
          <xdr:row>43</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000-00001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45</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000-00001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171450</xdr:rowOff>
        </xdr:from>
        <xdr:to>
          <xdr:col>14</xdr:col>
          <xdr:colOff>409575</xdr:colOff>
          <xdr:row>45</xdr:row>
          <xdr:rowOff>180975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000-00001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0</xdr:rowOff>
        </xdr:from>
        <xdr:to>
          <xdr:col>14</xdr:col>
          <xdr:colOff>381000</xdr:colOff>
          <xdr:row>53</xdr:row>
          <xdr:rowOff>19050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000-00001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6145" name="Picture 6145">
          <a:extLst>
            <a:ext uri="{FF2B5EF4-FFF2-40B4-BE49-F238E27FC236}">
              <a16:creationId xmlns:a16="http://schemas.microsoft.com/office/drawing/2014/main" id="{00000000-0008-0000-0F00-00000118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16</xdr:col>
      <xdr:colOff>0</xdr:colOff>
      <xdr:row>0</xdr:row>
      <xdr:rowOff>0</xdr:rowOff>
    </xdr:from>
    <xdr:to>
      <xdr:col>18</xdr:col>
      <xdr:colOff>194890</xdr:colOff>
      <xdr:row>2</xdr:row>
      <xdr:rowOff>238199</xdr:rowOff>
    </xdr:to>
    <xdr:grpSp>
      <xdr:nvGrpSpPr>
        <xdr:cNvPr id="20" name="グループ化 19">
          <a:hlinkClick xmlns:r="http://schemas.openxmlformats.org/officeDocument/2006/relationships" r:id="rId1"/>
          <a:extLst>
            <a:ext uri="{FF2B5EF4-FFF2-40B4-BE49-F238E27FC236}">
              <a16:creationId xmlns:a16="http://schemas.microsoft.com/office/drawing/2014/main" id="{00000000-0008-0000-0F00-000014000000}"/>
            </a:ext>
          </a:extLst>
        </xdr:cNvPr>
        <xdr:cNvGrpSpPr/>
      </xdr:nvGrpSpPr>
      <xdr:grpSpPr>
        <a:xfrm>
          <a:off x="7010400" y="0"/>
          <a:ext cx="1566490" cy="752549"/>
          <a:chOff x="7896221" y="0"/>
          <a:chExt cx="1566617" cy="781050"/>
        </a:xfrm>
      </xdr:grpSpPr>
      <xdr:sp macro="" textlink="">
        <xdr:nvSpPr>
          <xdr:cNvPr id="21" name="円/楕円 112">
            <a:extLst>
              <a:ext uri="{FF2B5EF4-FFF2-40B4-BE49-F238E27FC236}">
                <a16:creationId xmlns:a16="http://schemas.microsoft.com/office/drawing/2014/main" id="{00000000-0008-0000-0F00-000015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10</xdr:col>
      <xdr:colOff>0</xdr:colOff>
      <xdr:row>0</xdr:row>
      <xdr:rowOff>0</xdr:rowOff>
    </xdr:from>
    <xdr:to>
      <xdr:col>12</xdr:col>
      <xdr:colOff>295182</xdr:colOff>
      <xdr:row>1</xdr:row>
      <xdr:rowOff>47885</xdr:rowOff>
    </xdr:to>
    <xdr:sp macro="" textlink="">
      <xdr:nvSpPr>
        <xdr:cNvPr id="9" name="テキスト ボックス 22">
          <a:extLst>
            <a:ext uri="{FF2B5EF4-FFF2-40B4-BE49-F238E27FC236}">
              <a16:creationId xmlns:a16="http://schemas.microsoft.com/office/drawing/2014/main" id="{00000000-0008-0000-0F00-00001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0" name="テキスト ボックス 23">
          <a:extLst>
            <a:ext uri="{FF2B5EF4-FFF2-40B4-BE49-F238E27FC236}">
              <a16:creationId xmlns:a16="http://schemas.microsoft.com/office/drawing/2014/main" id="{00000000-0008-0000-0F00-00001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1" name="テキスト ボックス 24">
          <a:extLst>
            <a:ext uri="{FF2B5EF4-FFF2-40B4-BE49-F238E27FC236}">
              <a16:creationId xmlns:a16="http://schemas.microsoft.com/office/drawing/2014/main" id="{00000000-0008-0000-0F00-00001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85725</xdr:colOff>
          <xdr:row>22</xdr:row>
          <xdr:rowOff>0</xdr:rowOff>
        </xdr:from>
        <xdr:to>
          <xdr:col>14</xdr:col>
          <xdr:colOff>390525</xdr:colOff>
          <xdr:row>23</xdr:row>
          <xdr:rowOff>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100-00000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24</xdr:row>
          <xdr:rowOff>0</xdr:rowOff>
        </xdr:from>
        <xdr:to>
          <xdr:col>14</xdr:col>
          <xdr:colOff>390525</xdr:colOff>
          <xdr:row>25</xdr:row>
          <xdr:rowOff>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100-00000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25</xdr:row>
          <xdr:rowOff>0</xdr:rowOff>
        </xdr:from>
        <xdr:to>
          <xdr:col>14</xdr:col>
          <xdr:colOff>390525</xdr:colOff>
          <xdr:row>26</xdr:row>
          <xdr:rowOff>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100-00000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26</xdr:row>
          <xdr:rowOff>0</xdr:rowOff>
        </xdr:from>
        <xdr:to>
          <xdr:col>14</xdr:col>
          <xdr:colOff>390525</xdr:colOff>
          <xdr:row>27</xdr:row>
          <xdr:rowOff>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100-00000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27</xdr:row>
          <xdr:rowOff>0</xdr:rowOff>
        </xdr:from>
        <xdr:to>
          <xdr:col>14</xdr:col>
          <xdr:colOff>390525</xdr:colOff>
          <xdr:row>28</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100-00000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28</xdr:row>
          <xdr:rowOff>0</xdr:rowOff>
        </xdr:from>
        <xdr:to>
          <xdr:col>14</xdr:col>
          <xdr:colOff>390525</xdr:colOff>
          <xdr:row>29</xdr:row>
          <xdr:rowOff>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100-00000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29</xdr:row>
          <xdr:rowOff>0</xdr:rowOff>
        </xdr:from>
        <xdr:to>
          <xdr:col>14</xdr:col>
          <xdr:colOff>390525</xdr:colOff>
          <xdr:row>30</xdr:row>
          <xdr:rowOff>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100-00000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30</xdr:row>
          <xdr:rowOff>0</xdr:rowOff>
        </xdr:from>
        <xdr:to>
          <xdr:col>14</xdr:col>
          <xdr:colOff>390525</xdr:colOff>
          <xdr:row>31</xdr:row>
          <xdr:rowOff>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100-00000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31</xdr:row>
          <xdr:rowOff>0</xdr:rowOff>
        </xdr:from>
        <xdr:to>
          <xdr:col>14</xdr:col>
          <xdr:colOff>390525</xdr:colOff>
          <xdr:row>32</xdr:row>
          <xdr:rowOff>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100-00000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32</xdr:row>
          <xdr:rowOff>0</xdr:rowOff>
        </xdr:from>
        <xdr:to>
          <xdr:col>14</xdr:col>
          <xdr:colOff>390525</xdr:colOff>
          <xdr:row>33</xdr:row>
          <xdr:rowOff>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100-00000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33</xdr:row>
          <xdr:rowOff>0</xdr:rowOff>
        </xdr:from>
        <xdr:to>
          <xdr:col>14</xdr:col>
          <xdr:colOff>390525</xdr:colOff>
          <xdr:row>34</xdr:row>
          <xdr:rowOff>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100-00000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0</xdr:rowOff>
        </xdr:from>
        <xdr:to>
          <xdr:col>14</xdr:col>
          <xdr:colOff>390525</xdr:colOff>
          <xdr:row>35</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100-00000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35</xdr:row>
          <xdr:rowOff>0</xdr:rowOff>
        </xdr:from>
        <xdr:to>
          <xdr:col>14</xdr:col>
          <xdr:colOff>390525</xdr:colOff>
          <xdr:row>36</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100-00000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36</xdr:row>
          <xdr:rowOff>0</xdr:rowOff>
        </xdr:from>
        <xdr:to>
          <xdr:col>14</xdr:col>
          <xdr:colOff>390525</xdr:colOff>
          <xdr:row>37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100-00000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37</xdr:row>
          <xdr:rowOff>0</xdr:rowOff>
        </xdr:from>
        <xdr:to>
          <xdr:col>14</xdr:col>
          <xdr:colOff>390525</xdr:colOff>
          <xdr:row>38</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100-00000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38</xdr:row>
          <xdr:rowOff>0</xdr:rowOff>
        </xdr:from>
        <xdr:to>
          <xdr:col>14</xdr:col>
          <xdr:colOff>390525</xdr:colOff>
          <xdr:row>39</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100-000010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40</xdr:row>
          <xdr:rowOff>0</xdr:rowOff>
        </xdr:from>
        <xdr:to>
          <xdr:col>14</xdr:col>
          <xdr:colOff>390525</xdr:colOff>
          <xdr:row>41</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100-00001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7169" name="Picture 7169">
          <a:extLst>
            <a:ext uri="{FF2B5EF4-FFF2-40B4-BE49-F238E27FC236}">
              <a16:creationId xmlns:a16="http://schemas.microsoft.com/office/drawing/2014/main" id="{00000000-0008-0000-1000-0000011C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47885</xdr:rowOff>
    </xdr:to>
    <xdr:sp macro="" textlink="">
      <xdr:nvSpPr>
        <xdr:cNvPr id="12" name="テキスト ボックス 38">
          <a:extLst>
            <a:ext uri="{FF2B5EF4-FFF2-40B4-BE49-F238E27FC236}">
              <a16:creationId xmlns:a16="http://schemas.microsoft.com/office/drawing/2014/main" id="{00000000-0008-0000-1000-00002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3" name="テキスト ボックス 39">
          <a:extLst>
            <a:ext uri="{FF2B5EF4-FFF2-40B4-BE49-F238E27FC236}">
              <a16:creationId xmlns:a16="http://schemas.microsoft.com/office/drawing/2014/main" id="{00000000-0008-0000-1000-00002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4" name="テキスト ボックス 40">
          <a:extLst>
            <a:ext uri="{FF2B5EF4-FFF2-40B4-BE49-F238E27FC236}">
              <a16:creationId xmlns:a16="http://schemas.microsoft.com/office/drawing/2014/main" id="{00000000-0008-0000-1000-00002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xdr:twoCellAnchor>
    <xdr:from>
      <xdr:col>16</xdr:col>
      <xdr:colOff>0</xdr:colOff>
      <xdr:row>0</xdr:row>
      <xdr:rowOff>0</xdr:rowOff>
    </xdr:from>
    <xdr:to>
      <xdr:col>18</xdr:col>
      <xdr:colOff>194890</xdr:colOff>
      <xdr:row>2</xdr:row>
      <xdr:rowOff>238199</xdr:rowOff>
    </xdr:to>
    <xdr:grpSp>
      <xdr:nvGrpSpPr>
        <xdr:cNvPr id="42" name="グループ化 41">
          <a:hlinkClick xmlns:r="http://schemas.openxmlformats.org/officeDocument/2006/relationships" r:id="rId1"/>
          <a:extLst>
            <a:ext uri="{FF2B5EF4-FFF2-40B4-BE49-F238E27FC236}">
              <a16:creationId xmlns:a16="http://schemas.microsoft.com/office/drawing/2014/main" id="{00000000-0008-0000-1000-00002A000000}"/>
            </a:ext>
          </a:extLst>
        </xdr:cNvPr>
        <xdr:cNvGrpSpPr/>
      </xdr:nvGrpSpPr>
      <xdr:grpSpPr>
        <a:xfrm>
          <a:off x="7010400" y="0"/>
          <a:ext cx="1566490" cy="752549"/>
          <a:chOff x="7896221" y="0"/>
          <a:chExt cx="1566617" cy="781050"/>
        </a:xfrm>
      </xdr:grpSpPr>
      <xdr:sp macro="" textlink="">
        <xdr:nvSpPr>
          <xdr:cNvPr id="43" name="円/楕円 112">
            <a:extLst>
              <a:ext uri="{FF2B5EF4-FFF2-40B4-BE49-F238E27FC236}">
                <a16:creationId xmlns:a16="http://schemas.microsoft.com/office/drawing/2014/main" id="{00000000-0008-0000-1000-00002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4" name="テキスト ボックス 43">
            <a:extLst>
              <a:ext uri="{FF2B5EF4-FFF2-40B4-BE49-F238E27FC236}">
                <a16:creationId xmlns:a16="http://schemas.microsoft.com/office/drawing/2014/main" id="{00000000-0008-0000-1000-00002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9</xdr:col>
      <xdr:colOff>342779</xdr:colOff>
      <xdr:row>7</xdr:row>
      <xdr:rowOff>57150</xdr:rowOff>
    </xdr:from>
    <xdr:to>
      <xdr:col>15</xdr:col>
      <xdr:colOff>104831</xdr:colOff>
      <xdr:row>10</xdr:row>
      <xdr:rowOff>66749</xdr:rowOff>
    </xdr:to>
    <xdr:sp macro="" textlink="">
      <xdr:nvSpPr>
        <xdr:cNvPr id="15" name="テキスト ボックス 44">
          <a:extLst>
            <a:ext uri="{FF2B5EF4-FFF2-40B4-BE49-F238E27FC236}">
              <a16:creationId xmlns:a16="http://schemas.microsoft.com/office/drawing/2014/main" id="{00000000-0008-0000-1000-00002D000000}"/>
            </a:ext>
          </a:extLst>
        </xdr:cNvPr>
        <xdr:cNvSpPr txBox="1"/>
      </xdr:nvSpPr>
      <xdr:spPr>
        <a:xfrm>
          <a:off x="4429124" y="2028825"/>
          <a:ext cx="2247901"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1" i="0">
              <a:solidFill>
                <a:srgbClr val="FFFFFF"/>
              </a:solidFill>
              <a:latin typeface="ＭＳ Ｐゴシック"/>
              <a:ea typeface="ＭＳ Ｐゴシック"/>
              <a:cs typeface="ＭＳ Ｐゴシック"/>
            </a:rPr>
            <a:t>郵送申請の場合は、</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郵送申請の提出票のみ提出</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38100</xdr:rowOff>
        </xdr:from>
        <xdr:to>
          <xdr:col>14</xdr:col>
          <xdr:colOff>409575</xdr:colOff>
          <xdr:row>23</xdr:row>
          <xdr:rowOff>38100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200-00000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38100</xdr:rowOff>
        </xdr:from>
        <xdr:to>
          <xdr:col>14</xdr:col>
          <xdr:colOff>409575</xdr:colOff>
          <xdr:row>24</xdr:row>
          <xdr:rowOff>38100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2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38100</xdr:rowOff>
        </xdr:from>
        <xdr:to>
          <xdr:col>14</xdr:col>
          <xdr:colOff>409575</xdr:colOff>
          <xdr:row>25</xdr:row>
          <xdr:rowOff>38100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2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38100</xdr:rowOff>
        </xdr:from>
        <xdr:to>
          <xdr:col>14</xdr:col>
          <xdr:colOff>409575</xdr:colOff>
          <xdr:row>27</xdr:row>
          <xdr:rowOff>38100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200-00000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38100</xdr:rowOff>
        </xdr:from>
        <xdr:to>
          <xdr:col>14</xdr:col>
          <xdr:colOff>409575</xdr:colOff>
          <xdr:row>28</xdr:row>
          <xdr:rowOff>38100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200-00000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38100</xdr:rowOff>
        </xdr:from>
        <xdr:to>
          <xdr:col>14</xdr:col>
          <xdr:colOff>409575</xdr:colOff>
          <xdr:row>29</xdr:row>
          <xdr:rowOff>38100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2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2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2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200-00000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2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2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2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200-00000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200-00000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200-00000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200-00001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200-00001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200-00001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38100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200-00001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200-00001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200-00001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200-00001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200-00001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200-00001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200-00001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200-00001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200-00001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200-00001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200-00001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200-00001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200-00001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2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2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2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44</xdr:row>
          <xdr:rowOff>38100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200-00002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38100</xdr:rowOff>
        </xdr:from>
        <xdr:to>
          <xdr:col>14</xdr:col>
          <xdr:colOff>409575</xdr:colOff>
          <xdr:row>45</xdr:row>
          <xdr:rowOff>38100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200-00002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0" Type="http://schemas.openxmlformats.org/officeDocument/2006/relationships/ctrlProp" Target="../ctrlProps/ctrlProp76.xml"/><Relationship Id="rId85" Type="http://schemas.openxmlformats.org/officeDocument/2006/relationships/ctrlProp" Target="../ctrlProps/ctrlProp81.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ensa@ikjc.or.jp"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omments" Target="../comments1.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8.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mailto:kensa@ikjc.or.jp" TargetMode="External"/><Relationship Id="rId2" Type="http://schemas.openxmlformats.org/officeDocument/2006/relationships/hyperlink" Target="mailto:kakunin@ikjc.or.jp" TargetMode="External"/><Relationship Id="rId1" Type="http://schemas.openxmlformats.org/officeDocument/2006/relationships/hyperlink" Target="http://www.ikjc.or.jp/" TargetMode="Externa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26" Type="http://schemas.openxmlformats.org/officeDocument/2006/relationships/ctrlProp" Target="../ctrlProps/ctrlProp114.xml"/><Relationship Id="rId3" Type="http://schemas.openxmlformats.org/officeDocument/2006/relationships/drawing" Target="../drawings/drawing7.x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5" Type="http://schemas.openxmlformats.org/officeDocument/2006/relationships/ctrlProp" Target="../ctrlProps/ctrlProp113.xml"/><Relationship Id="rId2" Type="http://schemas.openxmlformats.org/officeDocument/2006/relationships/printerSettings" Target="../printerSettings/printerSettings14.bin"/><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hyperlink" Target="https://www.flat35.com/business/download/index.html" TargetMode="External"/><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trlProp" Target="../ctrlProps/ctrlProp112.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vmlDrawing" Target="../drawings/vmlDrawing2.v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 Id="rId27"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19.xml"/><Relationship Id="rId13" Type="http://schemas.openxmlformats.org/officeDocument/2006/relationships/ctrlProp" Target="../ctrlProps/ctrlProp124.xml"/><Relationship Id="rId18" Type="http://schemas.openxmlformats.org/officeDocument/2006/relationships/ctrlProp" Target="../ctrlProps/ctrlProp129.xml"/><Relationship Id="rId3" Type="http://schemas.openxmlformats.org/officeDocument/2006/relationships/vmlDrawing" Target="../drawings/vmlDrawing3.vml"/><Relationship Id="rId21" Type="http://schemas.openxmlformats.org/officeDocument/2006/relationships/comments" Target="../comments3.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 Type="http://schemas.openxmlformats.org/officeDocument/2006/relationships/drawing" Target="../drawings/drawing8.xml"/><Relationship Id="rId16" Type="http://schemas.openxmlformats.org/officeDocument/2006/relationships/ctrlProp" Target="../ctrlProps/ctrlProp127.xml"/><Relationship Id="rId20" Type="http://schemas.openxmlformats.org/officeDocument/2006/relationships/ctrlProp" Target="../ctrlProps/ctrlProp131.xml"/><Relationship Id="rId1" Type="http://schemas.openxmlformats.org/officeDocument/2006/relationships/printerSettings" Target="../printerSettings/printerSettings15.bin"/><Relationship Id="rId6" Type="http://schemas.openxmlformats.org/officeDocument/2006/relationships/ctrlProp" Target="../ctrlProps/ctrlProp117.xml"/><Relationship Id="rId11" Type="http://schemas.openxmlformats.org/officeDocument/2006/relationships/ctrlProp" Target="../ctrlProps/ctrlProp122.xml"/><Relationship Id="rId5" Type="http://schemas.openxmlformats.org/officeDocument/2006/relationships/ctrlProp" Target="../ctrlProps/ctrlProp116.xml"/><Relationship Id="rId15" Type="http://schemas.openxmlformats.org/officeDocument/2006/relationships/ctrlProp" Target="../ctrlProps/ctrlProp126.xml"/><Relationship Id="rId10" Type="http://schemas.openxmlformats.org/officeDocument/2006/relationships/ctrlProp" Target="../ctrlProps/ctrlProp121.xml"/><Relationship Id="rId19" Type="http://schemas.openxmlformats.org/officeDocument/2006/relationships/ctrlProp" Target="../ctrlProps/ctrlProp130.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41.xml"/><Relationship Id="rId18" Type="http://schemas.openxmlformats.org/officeDocument/2006/relationships/ctrlProp" Target="../ctrlProps/ctrlProp146.xml"/><Relationship Id="rId26" Type="http://schemas.openxmlformats.org/officeDocument/2006/relationships/ctrlProp" Target="../ctrlProps/ctrlProp154.xml"/><Relationship Id="rId39" Type="http://schemas.openxmlformats.org/officeDocument/2006/relationships/ctrlProp" Target="../ctrlProps/ctrlProp167.xml"/><Relationship Id="rId21" Type="http://schemas.openxmlformats.org/officeDocument/2006/relationships/ctrlProp" Target="../ctrlProps/ctrlProp149.xml"/><Relationship Id="rId34" Type="http://schemas.openxmlformats.org/officeDocument/2006/relationships/ctrlProp" Target="../ctrlProps/ctrlProp162.xml"/><Relationship Id="rId7" Type="http://schemas.openxmlformats.org/officeDocument/2006/relationships/ctrlProp" Target="../ctrlProps/ctrlProp135.xml"/><Relationship Id="rId12" Type="http://schemas.openxmlformats.org/officeDocument/2006/relationships/ctrlProp" Target="../ctrlProps/ctrlProp140.xml"/><Relationship Id="rId17" Type="http://schemas.openxmlformats.org/officeDocument/2006/relationships/ctrlProp" Target="../ctrlProps/ctrlProp145.xml"/><Relationship Id="rId25" Type="http://schemas.openxmlformats.org/officeDocument/2006/relationships/ctrlProp" Target="../ctrlProps/ctrlProp153.xml"/><Relationship Id="rId33" Type="http://schemas.openxmlformats.org/officeDocument/2006/relationships/ctrlProp" Target="../ctrlProps/ctrlProp161.xml"/><Relationship Id="rId38" Type="http://schemas.openxmlformats.org/officeDocument/2006/relationships/ctrlProp" Target="../ctrlProps/ctrlProp166.xml"/><Relationship Id="rId2" Type="http://schemas.openxmlformats.org/officeDocument/2006/relationships/drawing" Target="../drawings/drawing9.xml"/><Relationship Id="rId16" Type="http://schemas.openxmlformats.org/officeDocument/2006/relationships/ctrlProp" Target="../ctrlProps/ctrlProp144.xml"/><Relationship Id="rId20" Type="http://schemas.openxmlformats.org/officeDocument/2006/relationships/ctrlProp" Target="../ctrlProps/ctrlProp148.xml"/><Relationship Id="rId29" Type="http://schemas.openxmlformats.org/officeDocument/2006/relationships/ctrlProp" Target="../ctrlProps/ctrlProp157.xml"/><Relationship Id="rId1" Type="http://schemas.openxmlformats.org/officeDocument/2006/relationships/printerSettings" Target="../printerSettings/printerSettings16.bin"/><Relationship Id="rId6" Type="http://schemas.openxmlformats.org/officeDocument/2006/relationships/ctrlProp" Target="../ctrlProps/ctrlProp134.xml"/><Relationship Id="rId11" Type="http://schemas.openxmlformats.org/officeDocument/2006/relationships/ctrlProp" Target="../ctrlProps/ctrlProp139.xml"/><Relationship Id="rId24" Type="http://schemas.openxmlformats.org/officeDocument/2006/relationships/ctrlProp" Target="../ctrlProps/ctrlProp152.xml"/><Relationship Id="rId32" Type="http://schemas.openxmlformats.org/officeDocument/2006/relationships/ctrlProp" Target="../ctrlProps/ctrlProp160.xml"/><Relationship Id="rId37" Type="http://schemas.openxmlformats.org/officeDocument/2006/relationships/ctrlProp" Target="../ctrlProps/ctrlProp165.xml"/><Relationship Id="rId40" Type="http://schemas.openxmlformats.org/officeDocument/2006/relationships/comments" Target="../comments4.xml"/><Relationship Id="rId5" Type="http://schemas.openxmlformats.org/officeDocument/2006/relationships/ctrlProp" Target="../ctrlProps/ctrlProp133.xml"/><Relationship Id="rId15" Type="http://schemas.openxmlformats.org/officeDocument/2006/relationships/ctrlProp" Target="../ctrlProps/ctrlProp143.xml"/><Relationship Id="rId23" Type="http://schemas.openxmlformats.org/officeDocument/2006/relationships/ctrlProp" Target="../ctrlProps/ctrlProp151.xml"/><Relationship Id="rId28" Type="http://schemas.openxmlformats.org/officeDocument/2006/relationships/ctrlProp" Target="../ctrlProps/ctrlProp156.xml"/><Relationship Id="rId36" Type="http://schemas.openxmlformats.org/officeDocument/2006/relationships/ctrlProp" Target="../ctrlProps/ctrlProp164.xml"/><Relationship Id="rId10" Type="http://schemas.openxmlformats.org/officeDocument/2006/relationships/ctrlProp" Target="../ctrlProps/ctrlProp138.xml"/><Relationship Id="rId19" Type="http://schemas.openxmlformats.org/officeDocument/2006/relationships/ctrlProp" Target="../ctrlProps/ctrlProp147.xml"/><Relationship Id="rId31" Type="http://schemas.openxmlformats.org/officeDocument/2006/relationships/ctrlProp" Target="../ctrlProps/ctrlProp159.xml"/><Relationship Id="rId4" Type="http://schemas.openxmlformats.org/officeDocument/2006/relationships/ctrlProp" Target="../ctrlProps/ctrlProp132.xml"/><Relationship Id="rId9" Type="http://schemas.openxmlformats.org/officeDocument/2006/relationships/ctrlProp" Target="../ctrlProps/ctrlProp137.xml"/><Relationship Id="rId14" Type="http://schemas.openxmlformats.org/officeDocument/2006/relationships/ctrlProp" Target="../ctrlProps/ctrlProp142.xml"/><Relationship Id="rId22" Type="http://schemas.openxmlformats.org/officeDocument/2006/relationships/ctrlProp" Target="../ctrlProps/ctrlProp150.xml"/><Relationship Id="rId27" Type="http://schemas.openxmlformats.org/officeDocument/2006/relationships/ctrlProp" Target="../ctrlProps/ctrlProp155.xml"/><Relationship Id="rId30" Type="http://schemas.openxmlformats.org/officeDocument/2006/relationships/ctrlProp" Target="../ctrlProps/ctrlProp158.xml"/><Relationship Id="rId35" Type="http://schemas.openxmlformats.org/officeDocument/2006/relationships/ctrlProp" Target="../ctrlProps/ctrlProp163.xml"/><Relationship Id="rId8" Type="http://schemas.openxmlformats.org/officeDocument/2006/relationships/ctrlProp" Target="../ctrlProps/ctrlProp136.xml"/><Relationship Id="rId3" Type="http://schemas.openxmlformats.org/officeDocument/2006/relationships/vmlDrawing" Target="../drawings/vmlDrawing4.v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281.xml"/><Relationship Id="rId21" Type="http://schemas.openxmlformats.org/officeDocument/2006/relationships/ctrlProp" Target="../ctrlProps/ctrlProp185.xml"/><Relationship Id="rId42" Type="http://schemas.openxmlformats.org/officeDocument/2006/relationships/ctrlProp" Target="../ctrlProps/ctrlProp206.xml"/><Relationship Id="rId63" Type="http://schemas.openxmlformats.org/officeDocument/2006/relationships/ctrlProp" Target="../ctrlProps/ctrlProp227.xml"/><Relationship Id="rId84" Type="http://schemas.openxmlformats.org/officeDocument/2006/relationships/ctrlProp" Target="../ctrlProps/ctrlProp248.xml"/><Relationship Id="rId138" Type="http://schemas.openxmlformats.org/officeDocument/2006/relationships/ctrlProp" Target="../ctrlProps/ctrlProp302.xml"/><Relationship Id="rId107" Type="http://schemas.openxmlformats.org/officeDocument/2006/relationships/ctrlProp" Target="../ctrlProps/ctrlProp271.xml"/><Relationship Id="rId11" Type="http://schemas.openxmlformats.org/officeDocument/2006/relationships/ctrlProp" Target="../ctrlProps/ctrlProp175.xml"/><Relationship Id="rId32" Type="http://schemas.openxmlformats.org/officeDocument/2006/relationships/ctrlProp" Target="../ctrlProps/ctrlProp196.xml"/><Relationship Id="rId37" Type="http://schemas.openxmlformats.org/officeDocument/2006/relationships/ctrlProp" Target="../ctrlProps/ctrlProp201.xml"/><Relationship Id="rId53" Type="http://schemas.openxmlformats.org/officeDocument/2006/relationships/ctrlProp" Target="../ctrlProps/ctrlProp217.xml"/><Relationship Id="rId58" Type="http://schemas.openxmlformats.org/officeDocument/2006/relationships/ctrlProp" Target="../ctrlProps/ctrlProp222.xml"/><Relationship Id="rId74" Type="http://schemas.openxmlformats.org/officeDocument/2006/relationships/ctrlProp" Target="../ctrlProps/ctrlProp238.xml"/><Relationship Id="rId79" Type="http://schemas.openxmlformats.org/officeDocument/2006/relationships/ctrlProp" Target="../ctrlProps/ctrlProp243.xml"/><Relationship Id="rId102" Type="http://schemas.openxmlformats.org/officeDocument/2006/relationships/ctrlProp" Target="../ctrlProps/ctrlProp266.xml"/><Relationship Id="rId123" Type="http://schemas.openxmlformats.org/officeDocument/2006/relationships/ctrlProp" Target="../ctrlProps/ctrlProp287.xml"/><Relationship Id="rId128" Type="http://schemas.openxmlformats.org/officeDocument/2006/relationships/ctrlProp" Target="../ctrlProps/ctrlProp292.xml"/><Relationship Id="rId5" Type="http://schemas.openxmlformats.org/officeDocument/2006/relationships/ctrlProp" Target="../ctrlProps/ctrlProp169.xml"/><Relationship Id="rId90" Type="http://schemas.openxmlformats.org/officeDocument/2006/relationships/ctrlProp" Target="../ctrlProps/ctrlProp254.xml"/><Relationship Id="rId95" Type="http://schemas.openxmlformats.org/officeDocument/2006/relationships/ctrlProp" Target="../ctrlProps/ctrlProp259.xml"/><Relationship Id="rId22" Type="http://schemas.openxmlformats.org/officeDocument/2006/relationships/ctrlProp" Target="../ctrlProps/ctrlProp186.xml"/><Relationship Id="rId27" Type="http://schemas.openxmlformats.org/officeDocument/2006/relationships/ctrlProp" Target="../ctrlProps/ctrlProp191.xml"/><Relationship Id="rId43" Type="http://schemas.openxmlformats.org/officeDocument/2006/relationships/ctrlProp" Target="../ctrlProps/ctrlProp207.xml"/><Relationship Id="rId48" Type="http://schemas.openxmlformats.org/officeDocument/2006/relationships/ctrlProp" Target="../ctrlProps/ctrlProp212.xml"/><Relationship Id="rId64" Type="http://schemas.openxmlformats.org/officeDocument/2006/relationships/ctrlProp" Target="../ctrlProps/ctrlProp228.xml"/><Relationship Id="rId69" Type="http://schemas.openxmlformats.org/officeDocument/2006/relationships/ctrlProp" Target="../ctrlProps/ctrlProp233.xml"/><Relationship Id="rId113" Type="http://schemas.openxmlformats.org/officeDocument/2006/relationships/ctrlProp" Target="../ctrlProps/ctrlProp277.xml"/><Relationship Id="rId118" Type="http://schemas.openxmlformats.org/officeDocument/2006/relationships/ctrlProp" Target="../ctrlProps/ctrlProp282.xml"/><Relationship Id="rId134" Type="http://schemas.openxmlformats.org/officeDocument/2006/relationships/ctrlProp" Target="../ctrlProps/ctrlProp298.xml"/><Relationship Id="rId139" Type="http://schemas.openxmlformats.org/officeDocument/2006/relationships/ctrlProp" Target="../ctrlProps/ctrlProp303.xml"/><Relationship Id="rId80" Type="http://schemas.openxmlformats.org/officeDocument/2006/relationships/ctrlProp" Target="../ctrlProps/ctrlProp244.xml"/><Relationship Id="rId85" Type="http://schemas.openxmlformats.org/officeDocument/2006/relationships/ctrlProp" Target="../ctrlProps/ctrlProp249.xml"/><Relationship Id="rId12" Type="http://schemas.openxmlformats.org/officeDocument/2006/relationships/ctrlProp" Target="../ctrlProps/ctrlProp176.xml"/><Relationship Id="rId17" Type="http://schemas.openxmlformats.org/officeDocument/2006/relationships/ctrlProp" Target="../ctrlProps/ctrlProp181.xml"/><Relationship Id="rId33" Type="http://schemas.openxmlformats.org/officeDocument/2006/relationships/ctrlProp" Target="../ctrlProps/ctrlProp197.xml"/><Relationship Id="rId38" Type="http://schemas.openxmlformats.org/officeDocument/2006/relationships/ctrlProp" Target="../ctrlProps/ctrlProp202.xml"/><Relationship Id="rId59" Type="http://schemas.openxmlformats.org/officeDocument/2006/relationships/ctrlProp" Target="../ctrlProps/ctrlProp223.xml"/><Relationship Id="rId103" Type="http://schemas.openxmlformats.org/officeDocument/2006/relationships/ctrlProp" Target="../ctrlProps/ctrlProp267.xml"/><Relationship Id="rId108" Type="http://schemas.openxmlformats.org/officeDocument/2006/relationships/ctrlProp" Target="../ctrlProps/ctrlProp272.xml"/><Relationship Id="rId124" Type="http://schemas.openxmlformats.org/officeDocument/2006/relationships/ctrlProp" Target="../ctrlProps/ctrlProp288.xml"/><Relationship Id="rId129" Type="http://schemas.openxmlformats.org/officeDocument/2006/relationships/ctrlProp" Target="../ctrlProps/ctrlProp293.xml"/><Relationship Id="rId54" Type="http://schemas.openxmlformats.org/officeDocument/2006/relationships/ctrlProp" Target="../ctrlProps/ctrlProp218.xml"/><Relationship Id="rId70" Type="http://schemas.openxmlformats.org/officeDocument/2006/relationships/ctrlProp" Target="../ctrlProps/ctrlProp234.xml"/><Relationship Id="rId75" Type="http://schemas.openxmlformats.org/officeDocument/2006/relationships/ctrlProp" Target="../ctrlProps/ctrlProp239.xml"/><Relationship Id="rId91" Type="http://schemas.openxmlformats.org/officeDocument/2006/relationships/ctrlProp" Target="../ctrlProps/ctrlProp255.xml"/><Relationship Id="rId96" Type="http://schemas.openxmlformats.org/officeDocument/2006/relationships/ctrlProp" Target="../ctrlProps/ctrlProp260.xml"/><Relationship Id="rId140" Type="http://schemas.openxmlformats.org/officeDocument/2006/relationships/ctrlProp" Target="../ctrlProps/ctrlProp304.xml"/><Relationship Id="rId1" Type="http://schemas.openxmlformats.org/officeDocument/2006/relationships/printerSettings" Target="../printerSettings/printerSettings17.bin"/><Relationship Id="rId6" Type="http://schemas.openxmlformats.org/officeDocument/2006/relationships/ctrlProp" Target="../ctrlProps/ctrlProp170.xml"/><Relationship Id="rId23" Type="http://schemas.openxmlformats.org/officeDocument/2006/relationships/ctrlProp" Target="../ctrlProps/ctrlProp187.xml"/><Relationship Id="rId28" Type="http://schemas.openxmlformats.org/officeDocument/2006/relationships/ctrlProp" Target="../ctrlProps/ctrlProp192.xml"/><Relationship Id="rId49" Type="http://schemas.openxmlformats.org/officeDocument/2006/relationships/ctrlProp" Target="../ctrlProps/ctrlProp213.xml"/><Relationship Id="rId114" Type="http://schemas.openxmlformats.org/officeDocument/2006/relationships/ctrlProp" Target="../ctrlProps/ctrlProp278.xml"/><Relationship Id="rId119" Type="http://schemas.openxmlformats.org/officeDocument/2006/relationships/ctrlProp" Target="../ctrlProps/ctrlProp283.xml"/><Relationship Id="rId44" Type="http://schemas.openxmlformats.org/officeDocument/2006/relationships/ctrlProp" Target="../ctrlProps/ctrlProp208.xml"/><Relationship Id="rId60" Type="http://schemas.openxmlformats.org/officeDocument/2006/relationships/ctrlProp" Target="../ctrlProps/ctrlProp224.xml"/><Relationship Id="rId65" Type="http://schemas.openxmlformats.org/officeDocument/2006/relationships/ctrlProp" Target="../ctrlProps/ctrlProp229.xml"/><Relationship Id="rId81" Type="http://schemas.openxmlformats.org/officeDocument/2006/relationships/ctrlProp" Target="../ctrlProps/ctrlProp245.xml"/><Relationship Id="rId86" Type="http://schemas.openxmlformats.org/officeDocument/2006/relationships/ctrlProp" Target="../ctrlProps/ctrlProp250.xml"/><Relationship Id="rId130" Type="http://schemas.openxmlformats.org/officeDocument/2006/relationships/ctrlProp" Target="../ctrlProps/ctrlProp294.xml"/><Relationship Id="rId135" Type="http://schemas.openxmlformats.org/officeDocument/2006/relationships/ctrlProp" Target="../ctrlProps/ctrlProp299.xml"/><Relationship Id="rId13" Type="http://schemas.openxmlformats.org/officeDocument/2006/relationships/ctrlProp" Target="../ctrlProps/ctrlProp177.xml"/><Relationship Id="rId18" Type="http://schemas.openxmlformats.org/officeDocument/2006/relationships/ctrlProp" Target="../ctrlProps/ctrlProp182.xml"/><Relationship Id="rId39" Type="http://schemas.openxmlformats.org/officeDocument/2006/relationships/ctrlProp" Target="../ctrlProps/ctrlProp203.xml"/><Relationship Id="rId109" Type="http://schemas.openxmlformats.org/officeDocument/2006/relationships/ctrlProp" Target="../ctrlProps/ctrlProp273.xml"/><Relationship Id="rId34" Type="http://schemas.openxmlformats.org/officeDocument/2006/relationships/ctrlProp" Target="../ctrlProps/ctrlProp198.xml"/><Relationship Id="rId50" Type="http://schemas.openxmlformats.org/officeDocument/2006/relationships/ctrlProp" Target="../ctrlProps/ctrlProp214.xml"/><Relationship Id="rId55" Type="http://schemas.openxmlformats.org/officeDocument/2006/relationships/ctrlProp" Target="../ctrlProps/ctrlProp219.xml"/><Relationship Id="rId76" Type="http://schemas.openxmlformats.org/officeDocument/2006/relationships/ctrlProp" Target="../ctrlProps/ctrlProp240.xml"/><Relationship Id="rId97" Type="http://schemas.openxmlformats.org/officeDocument/2006/relationships/ctrlProp" Target="../ctrlProps/ctrlProp261.xml"/><Relationship Id="rId104" Type="http://schemas.openxmlformats.org/officeDocument/2006/relationships/ctrlProp" Target="../ctrlProps/ctrlProp268.xml"/><Relationship Id="rId120" Type="http://schemas.openxmlformats.org/officeDocument/2006/relationships/ctrlProp" Target="../ctrlProps/ctrlProp284.xml"/><Relationship Id="rId125" Type="http://schemas.openxmlformats.org/officeDocument/2006/relationships/ctrlProp" Target="../ctrlProps/ctrlProp289.xml"/><Relationship Id="rId141" Type="http://schemas.openxmlformats.org/officeDocument/2006/relationships/ctrlProp" Target="../ctrlProps/ctrlProp305.xml"/><Relationship Id="rId7" Type="http://schemas.openxmlformats.org/officeDocument/2006/relationships/ctrlProp" Target="../ctrlProps/ctrlProp171.xml"/><Relationship Id="rId71" Type="http://schemas.openxmlformats.org/officeDocument/2006/relationships/ctrlProp" Target="../ctrlProps/ctrlProp235.xml"/><Relationship Id="rId92" Type="http://schemas.openxmlformats.org/officeDocument/2006/relationships/ctrlProp" Target="../ctrlProps/ctrlProp256.xml"/><Relationship Id="rId2" Type="http://schemas.openxmlformats.org/officeDocument/2006/relationships/drawing" Target="../drawings/drawing10.xml"/><Relationship Id="rId29" Type="http://schemas.openxmlformats.org/officeDocument/2006/relationships/ctrlProp" Target="../ctrlProps/ctrlProp193.xml"/><Relationship Id="rId24" Type="http://schemas.openxmlformats.org/officeDocument/2006/relationships/ctrlProp" Target="../ctrlProps/ctrlProp188.xml"/><Relationship Id="rId40" Type="http://schemas.openxmlformats.org/officeDocument/2006/relationships/ctrlProp" Target="../ctrlProps/ctrlProp204.xml"/><Relationship Id="rId45" Type="http://schemas.openxmlformats.org/officeDocument/2006/relationships/ctrlProp" Target="../ctrlProps/ctrlProp209.xml"/><Relationship Id="rId66" Type="http://schemas.openxmlformats.org/officeDocument/2006/relationships/ctrlProp" Target="../ctrlProps/ctrlProp230.xml"/><Relationship Id="rId87" Type="http://schemas.openxmlformats.org/officeDocument/2006/relationships/ctrlProp" Target="../ctrlProps/ctrlProp251.xml"/><Relationship Id="rId110" Type="http://schemas.openxmlformats.org/officeDocument/2006/relationships/ctrlProp" Target="../ctrlProps/ctrlProp274.xml"/><Relationship Id="rId115" Type="http://schemas.openxmlformats.org/officeDocument/2006/relationships/ctrlProp" Target="../ctrlProps/ctrlProp279.xml"/><Relationship Id="rId131" Type="http://schemas.openxmlformats.org/officeDocument/2006/relationships/ctrlProp" Target="../ctrlProps/ctrlProp295.xml"/><Relationship Id="rId136" Type="http://schemas.openxmlformats.org/officeDocument/2006/relationships/ctrlProp" Target="../ctrlProps/ctrlProp300.xml"/><Relationship Id="rId61" Type="http://schemas.openxmlformats.org/officeDocument/2006/relationships/ctrlProp" Target="../ctrlProps/ctrlProp225.xml"/><Relationship Id="rId82" Type="http://schemas.openxmlformats.org/officeDocument/2006/relationships/ctrlProp" Target="../ctrlProps/ctrlProp246.xml"/><Relationship Id="rId19" Type="http://schemas.openxmlformats.org/officeDocument/2006/relationships/ctrlProp" Target="../ctrlProps/ctrlProp183.xml"/><Relationship Id="rId14" Type="http://schemas.openxmlformats.org/officeDocument/2006/relationships/ctrlProp" Target="../ctrlProps/ctrlProp178.xml"/><Relationship Id="rId30" Type="http://schemas.openxmlformats.org/officeDocument/2006/relationships/ctrlProp" Target="../ctrlProps/ctrlProp194.xml"/><Relationship Id="rId35" Type="http://schemas.openxmlformats.org/officeDocument/2006/relationships/ctrlProp" Target="../ctrlProps/ctrlProp199.xml"/><Relationship Id="rId56" Type="http://schemas.openxmlformats.org/officeDocument/2006/relationships/ctrlProp" Target="../ctrlProps/ctrlProp220.xml"/><Relationship Id="rId77" Type="http://schemas.openxmlformats.org/officeDocument/2006/relationships/ctrlProp" Target="../ctrlProps/ctrlProp241.xml"/><Relationship Id="rId100" Type="http://schemas.openxmlformats.org/officeDocument/2006/relationships/ctrlProp" Target="../ctrlProps/ctrlProp264.xml"/><Relationship Id="rId105" Type="http://schemas.openxmlformats.org/officeDocument/2006/relationships/ctrlProp" Target="../ctrlProps/ctrlProp269.xml"/><Relationship Id="rId126" Type="http://schemas.openxmlformats.org/officeDocument/2006/relationships/ctrlProp" Target="../ctrlProps/ctrlProp290.xml"/><Relationship Id="rId8" Type="http://schemas.openxmlformats.org/officeDocument/2006/relationships/ctrlProp" Target="../ctrlProps/ctrlProp172.xml"/><Relationship Id="rId51" Type="http://schemas.openxmlformats.org/officeDocument/2006/relationships/ctrlProp" Target="../ctrlProps/ctrlProp215.xml"/><Relationship Id="rId72" Type="http://schemas.openxmlformats.org/officeDocument/2006/relationships/ctrlProp" Target="../ctrlProps/ctrlProp236.xml"/><Relationship Id="rId93" Type="http://schemas.openxmlformats.org/officeDocument/2006/relationships/ctrlProp" Target="../ctrlProps/ctrlProp257.xml"/><Relationship Id="rId98" Type="http://schemas.openxmlformats.org/officeDocument/2006/relationships/ctrlProp" Target="../ctrlProps/ctrlProp262.xml"/><Relationship Id="rId121" Type="http://schemas.openxmlformats.org/officeDocument/2006/relationships/ctrlProp" Target="../ctrlProps/ctrlProp285.xml"/><Relationship Id="rId142" Type="http://schemas.openxmlformats.org/officeDocument/2006/relationships/ctrlProp" Target="../ctrlProps/ctrlProp306.xml"/><Relationship Id="rId3" Type="http://schemas.openxmlformats.org/officeDocument/2006/relationships/vmlDrawing" Target="../drawings/vmlDrawing5.vml"/><Relationship Id="rId25" Type="http://schemas.openxmlformats.org/officeDocument/2006/relationships/ctrlProp" Target="../ctrlProps/ctrlProp189.xml"/><Relationship Id="rId46" Type="http://schemas.openxmlformats.org/officeDocument/2006/relationships/ctrlProp" Target="../ctrlProps/ctrlProp210.xml"/><Relationship Id="rId67" Type="http://schemas.openxmlformats.org/officeDocument/2006/relationships/ctrlProp" Target="../ctrlProps/ctrlProp231.xml"/><Relationship Id="rId116" Type="http://schemas.openxmlformats.org/officeDocument/2006/relationships/ctrlProp" Target="../ctrlProps/ctrlProp280.xml"/><Relationship Id="rId137" Type="http://schemas.openxmlformats.org/officeDocument/2006/relationships/ctrlProp" Target="../ctrlProps/ctrlProp301.xml"/><Relationship Id="rId20" Type="http://schemas.openxmlformats.org/officeDocument/2006/relationships/ctrlProp" Target="../ctrlProps/ctrlProp184.xml"/><Relationship Id="rId41" Type="http://schemas.openxmlformats.org/officeDocument/2006/relationships/ctrlProp" Target="../ctrlProps/ctrlProp205.xml"/><Relationship Id="rId62" Type="http://schemas.openxmlformats.org/officeDocument/2006/relationships/ctrlProp" Target="../ctrlProps/ctrlProp226.xml"/><Relationship Id="rId83" Type="http://schemas.openxmlformats.org/officeDocument/2006/relationships/ctrlProp" Target="../ctrlProps/ctrlProp247.xml"/><Relationship Id="rId88" Type="http://schemas.openxmlformats.org/officeDocument/2006/relationships/ctrlProp" Target="../ctrlProps/ctrlProp252.xml"/><Relationship Id="rId111" Type="http://schemas.openxmlformats.org/officeDocument/2006/relationships/ctrlProp" Target="../ctrlProps/ctrlProp275.xml"/><Relationship Id="rId132" Type="http://schemas.openxmlformats.org/officeDocument/2006/relationships/ctrlProp" Target="../ctrlProps/ctrlProp296.xml"/><Relationship Id="rId15" Type="http://schemas.openxmlformats.org/officeDocument/2006/relationships/ctrlProp" Target="../ctrlProps/ctrlProp179.xml"/><Relationship Id="rId36" Type="http://schemas.openxmlformats.org/officeDocument/2006/relationships/ctrlProp" Target="../ctrlProps/ctrlProp200.xml"/><Relationship Id="rId57" Type="http://schemas.openxmlformats.org/officeDocument/2006/relationships/ctrlProp" Target="../ctrlProps/ctrlProp221.xml"/><Relationship Id="rId106" Type="http://schemas.openxmlformats.org/officeDocument/2006/relationships/ctrlProp" Target="../ctrlProps/ctrlProp270.xml"/><Relationship Id="rId127" Type="http://schemas.openxmlformats.org/officeDocument/2006/relationships/ctrlProp" Target="../ctrlProps/ctrlProp291.xml"/><Relationship Id="rId10" Type="http://schemas.openxmlformats.org/officeDocument/2006/relationships/ctrlProp" Target="../ctrlProps/ctrlProp174.xml"/><Relationship Id="rId31" Type="http://schemas.openxmlformats.org/officeDocument/2006/relationships/ctrlProp" Target="../ctrlProps/ctrlProp195.xml"/><Relationship Id="rId52" Type="http://schemas.openxmlformats.org/officeDocument/2006/relationships/ctrlProp" Target="../ctrlProps/ctrlProp216.xml"/><Relationship Id="rId73" Type="http://schemas.openxmlformats.org/officeDocument/2006/relationships/ctrlProp" Target="../ctrlProps/ctrlProp237.xml"/><Relationship Id="rId78" Type="http://schemas.openxmlformats.org/officeDocument/2006/relationships/ctrlProp" Target="../ctrlProps/ctrlProp242.xml"/><Relationship Id="rId94" Type="http://schemas.openxmlformats.org/officeDocument/2006/relationships/ctrlProp" Target="../ctrlProps/ctrlProp258.xml"/><Relationship Id="rId99" Type="http://schemas.openxmlformats.org/officeDocument/2006/relationships/ctrlProp" Target="../ctrlProps/ctrlProp263.xml"/><Relationship Id="rId101" Type="http://schemas.openxmlformats.org/officeDocument/2006/relationships/ctrlProp" Target="../ctrlProps/ctrlProp265.xml"/><Relationship Id="rId122" Type="http://schemas.openxmlformats.org/officeDocument/2006/relationships/ctrlProp" Target="../ctrlProps/ctrlProp286.xml"/><Relationship Id="rId143" Type="http://schemas.openxmlformats.org/officeDocument/2006/relationships/comments" Target="../comments5.xml"/><Relationship Id="rId4" Type="http://schemas.openxmlformats.org/officeDocument/2006/relationships/ctrlProp" Target="../ctrlProps/ctrlProp168.xml"/><Relationship Id="rId9" Type="http://schemas.openxmlformats.org/officeDocument/2006/relationships/ctrlProp" Target="../ctrlProps/ctrlProp173.xml"/><Relationship Id="rId26" Type="http://schemas.openxmlformats.org/officeDocument/2006/relationships/ctrlProp" Target="../ctrlProps/ctrlProp190.xml"/><Relationship Id="rId47" Type="http://schemas.openxmlformats.org/officeDocument/2006/relationships/ctrlProp" Target="../ctrlProps/ctrlProp211.xml"/><Relationship Id="rId68" Type="http://schemas.openxmlformats.org/officeDocument/2006/relationships/ctrlProp" Target="../ctrlProps/ctrlProp232.xml"/><Relationship Id="rId89" Type="http://schemas.openxmlformats.org/officeDocument/2006/relationships/ctrlProp" Target="../ctrlProps/ctrlProp253.xml"/><Relationship Id="rId112" Type="http://schemas.openxmlformats.org/officeDocument/2006/relationships/ctrlProp" Target="../ctrlProps/ctrlProp276.xml"/><Relationship Id="rId133" Type="http://schemas.openxmlformats.org/officeDocument/2006/relationships/ctrlProp" Target="../ctrlProps/ctrlProp297.xml"/><Relationship Id="rId16" Type="http://schemas.openxmlformats.org/officeDocument/2006/relationships/ctrlProp" Target="../ctrlProps/ctrlProp180.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420.xml"/><Relationship Id="rId21" Type="http://schemas.openxmlformats.org/officeDocument/2006/relationships/ctrlProp" Target="../ctrlProps/ctrlProp324.xml"/><Relationship Id="rId42" Type="http://schemas.openxmlformats.org/officeDocument/2006/relationships/ctrlProp" Target="../ctrlProps/ctrlProp345.xml"/><Relationship Id="rId63" Type="http://schemas.openxmlformats.org/officeDocument/2006/relationships/ctrlProp" Target="../ctrlProps/ctrlProp366.xml"/><Relationship Id="rId84" Type="http://schemas.openxmlformats.org/officeDocument/2006/relationships/ctrlProp" Target="../ctrlProps/ctrlProp387.xml"/><Relationship Id="rId138" Type="http://schemas.openxmlformats.org/officeDocument/2006/relationships/ctrlProp" Target="../ctrlProps/ctrlProp441.xml"/><Relationship Id="rId107" Type="http://schemas.openxmlformats.org/officeDocument/2006/relationships/ctrlProp" Target="../ctrlProps/ctrlProp410.xml"/><Relationship Id="rId11" Type="http://schemas.openxmlformats.org/officeDocument/2006/relationships/ctrlProp" Target="../ctrlProps/ctrlProp314.xml"/><Relationship Id="rId32" Type="http://schemas.openxmlformats.org/officeDocument/2006/relationships/ctrlProp" Target="../ctrlProps/ctrlProp335.xml"/><Relationship Id="rId37" Type="http://schemas.openxmlformats.org/officeDocument/2006/relationships/ctrlProp" Target="../ctrlProps/ctrlProp340.xml"/><Relationship Id="rId53" Type="http://schemas.openxmlformats.org/officeDocument/2006/relationships/ctrlProp" Target="../ctrlProps/ctrlProp356.xml"/><Relationship Id="rId58" Type="http://schemas.openxmlformats.org/officeDocument/2006/relationships/ctrlProp" Target="../ctrlProps/ctrlProp361.xml"/><Relationship Id="rId74" Type="http://schemas.openxmlformats.org/officeDocument/2006/relationships/ctrlProp" Target="../ctrlProps/ctrlProp377.xml"/><Relationship Id="rId79" Type="http://schemas.openxmlformats.org/officeDocument/2006/relationships/ctrlProp" Target="../ctrlProps/ctrlProp382.xml"/><Relationship Id="rId102" Type="http://schemas.openxmlformats.org/officeDocument/2006/relationships/ctrlProp" Target="../ctrlProps/ctrlProp405.xml"/><Relationship Id="rId123" Type="http://schemas.openxmlformats.org/officeDocument/2006/relationships/ctrlProp" Target="../ctrlProps/ctrlProp426.xml"/><Relationship Id="rId128" Type="http://schemas.openxmlformats.org/officeDocument/2006/relationships/ctrlProp" Target="../ctrlProps/ctrlProp431.xml"/><Relationship Id="rId5" Type="http://schemas.openxmlformats.org/officeDocument/2006/relationships/ctrlProp" Target="../ctrlProps/ctrlProp308.xml"/><Relationship Id="rId90" Type="http://schemas.openxmlformats.org/officeDocument/2006/relationships/ctrlProp" Target="../ctrlProps/ctrlProp393.xml"/><Relationship Id="rId95" Type="http://schemas.openxmlformats.org/officeDocument/2006/relationships/ctrlProp" Target="../ctrlProps/ctrlProp398.xml"/><Relationship Id="rId22" Type="http://schemas.openxmlformats.org/officeDocument/2006/relationships/ctrlProp" Target="../ctrlProps/ctrlProp325.xml"/><Relationship Id="rId27" Type="http://schemas.openxmlformats.org/officeDocument/2006/relationships/ctrlProp" Target="../ctrlProps/ctrlProp330.xml"/><Relationship Id="rId43" Type="http://schemas.openxmlformats.org/officeDocument/2006/relationships/ctrlProp" Target="../ctrlProps/ctrlProp346.xml"/><Relationship Id="rId48" Type="http://schemas.openxmlformats.org/officeDocument/2006/relationships/ctrlProp" Target="../ctrlProps/ctrlProp351.xml"/><Relationship Id="rId64" Type="http://schemas.openxmlformats.org/officeDocument/2006/relationships/ctrlProp" Target="../ctrlProps/ctrlProp367.xml"/><Relationship Id="rId69" Type="http://schemas.openxmlformats.org/officeDocument/2006/relationships/ctrlProp" Target="../ctrlProps/ctrlProp372.xml"/><Relationship Id="rId113" Type="http://schemas.openxmlformats.org/officeDocument/2006/relationships/ctrlProp" Target="../ctrlProps/ctrlProp416.xml"/><Relationship Id="rId118" Type="http://schemas.openxmlformats.org/officeDocument/2006/relationships/ctrlProp" Target="../ctrlProps/ctrlProp421.xml"/><Relationship Id="rId134" Type="http://schemas.openxmlformats.org/officeDocument/2006/relationships/ctrlProp" Target="../ctrlProps/ctrlProp437.xml"/><Relationship Id="rId139" Type="http://schemas.openxmlformats.org/officeDocument/2006/relationships/ctrlProp" Target="../ctrlProps/ctrlProp442.xml"/><Relationship Id="rId80" Type="http://schemas.openxmlformats.org/officeDocument/2006/relationships/ctrlProp" Target="../ctrlProps/ctrlProp383.xml"/><Relationship Id="rId85" Type="http://schemas.openxmlformats.org/officeDocument/2006/relationships/ctrlProp" Target="../ctrlProps/ctrlProp388.xml"/><Relationship Id="rId12" Type="http://schemas.openxmlformats.org/officeDocument/2006/relationships/ctrlProp" Target="../ctrlProps/ctrlProp315.xml"/><Relationship Id="rId17" Type="http://schemas.openxmlformats.org/officeDocument/2006/relationships/ctrlProp" Target="../ctrlProps/ctrlProp320.xml"/><Relationship Id="rId33" Type="http://schemas.openxmlformats.org/officeDocument/2006/relationships/ctrlProp" Target="../ctrlProps/ctrlProp336.xml"/><Relationship Id="rId38" Type="http://schemas.openxmlformats.org/officeDocument/2006/relationships/ctrlProp" Target="../ctrlProps/ctrlProp341.xml"/><Relationship Id="rId59" Type="http://schemas.openxmlformats.org/officeDocument/2006/relationships/ctrlProp" Target="../ctrlProps/ctrlProp362.xml"/><Relationship Id="rId103" Type="http://schemas.openxmlformats.org/officeDocument/2006/relationships/ctrlProp" Target="../ctrlProps/ctrlProp406.xml"/><Relationship Id="rId108" Type="http://schemas.openxmlformats.org/officeDocument/2006/relationships/ctrlProp" Target="../ctrlProps/ctrlProp411.xml"/><Relationship Id="rId124" Type="http://schemas.openxmlformats.org/officeDocument/2006/relationships/ctrlProp" Target="../ctrlProps/ctrlProp427.xml"/><Relationship Id="rId129" Type="http://schemas.openxmlformats.org/officeDocument/2006/relationships/ctrlProp" Target="../ctrlProps/ctrlProp432.xml"/><Relationship Id="rId54" Type="http://schemas.openxmlformats.org/officeDocument/2006/relationships/ctrlProp" Target="../ctrlProps/ctrlProp357.xml"/><Relationship Id="rId70" Type="http://schemas.openxmlformats.org/officeDocument/2006/relationships/ctrlProp" Target="../ctrlProps/ctrlProp373.xml"/><Relationship Id="rId75" Type="http://schemas.openxmlformats.org/officeDocument/2006/relationships/ctrlProp" Target="../ctrlProps/ctrlProp378.xml"/><Relationship Id="rId91" Type="http://schemas.openxmlformats.org/officeDocument/2006/relationships/ctrlProp" Target="../ctrlProps/ctrlProp394.xml"/><Relationship Id="rId96" Type="http://schemas.openxmlformats.org/officeDocument/2006/relationships/ctrlProp" Target="../ctrlProps/ctrlProp399.xml"/><Relationship Id="rId140" Type="http://schemas.openxmlformats.org/officeDocument/2006/relationships/ctrlProp" Target="../ctrlProps/ctrlProp443.xml"/><Relationship Id="rId1" Type="http://schemas.openxmlformats.org/officeDocument/2006/relationships/printerSettings" Target="../printerSettings/printerSettings18.bin"/><Relationship Id="rId6" Type="http://schemas.openxmlformats.org/officeDocument/2006/relationships/ctrlProp" Target="../ctrlProps/ctrlProp309.xml"/><Relationship Id="rId23" Type="http://schemas.openxmlformats.org/officeDocument/2006/relationships/ctrlProp" Target="../ctrlProps/ctrlProp326.xml"/><Relationship Id="rId28" Type="http://schemas.openxmlformats.org/officeDocument/2006/relationships/ctrlProp" Target="../ctrlProps/ctrlProp331.xml"/><Relationship Id="rId49" Type="http://schemas.openxmlformats.org/officeDocument/2006/relationships/ctrlProp" Target="../ctrlProps/ctrlProp352.xml"/><Relationship Id="rId114" Type="http://schemas.openxmlformats.org/officeDocument/2006/relationships/ctrlProp" Target="../ctrlProps/ctrlProp417.xml"/><Relationship Id="rId119" Type="http://schemas.openxmlformats.org/officeDocument/2006/relationships/ctrlProp" Target="../ctrlProps/ctrlProp422.xml"/><Relationship Id="rId44" Type="http://schemas.openxmlformats.org/officeDocument/2006/relationships/ctrlProp" Target="../ctrlProps/ctrlProp347.xml"/><Relationship Id="rId60" Type="http://schemas.openxmlformats.org/officeDocument/2006/relationships/ctrlProp" Target="../ctrlProps/ctrlProp363.xml"/><Relationship Id="rId65" Type="http://schemas.openxmlformats.org/officeDocument/2006/relationships/ctrlProp" Target="../ctrlProps/ctrlProp368.xml"/><Relationship Id="rId81" Type="http://schemas.openxmlformats.org/officeDocument/2006/relationships/ctrlProp" Target="../ctrlProps/ctrlProp384.xml"/><Relationship Id="rId86" Type="http://schemas.openxmlformats.org/officeDocument/2006/relationships/ctrlProp" Target="../ctrlProps/ctrlProp389.xml"/><Relationship Id="rId130" Type="http://schemas.openxmlformats.org/officeDocument/2006/relationships/ctrlProp" Target="../ctrlProps/ctrlProp433.xml"/><Relationship Id="rId135" Type="http://schemas.openxmlformats.org/officeDocument/2006/relationships/ctrlProp" Target="../ctrlProps/ctrlProp438.xml"/><Relationship Id="rId13" Type="http://schemas.openxmlformats.org/officeDocument/2006/relationships/ctrlProp" Target="../ctrlProps/ctrlProp316.xml"/><Relationship Id="rId18" Type="http://schemas.openxmlformats.org/officeDocument/2006/relationships/ctrlProp" Target="../ctrlProps/ctrlProp321.xml"/><Relationship Id="rId39" Type="http://schemas.openxmlformats.org/officeDocument/2006/relationships/ctrlProp" Target="../ctrlProps/ctrlProp342.xml"/><Relationship Id="rId109" Type="http://schemas.openxmlformats.org/officeDocument/2006/relationships/ctrlProp" Target="../ctrlProps/ctrlProp412.xml"/><Relationship Id="rId34" Type="http://schemas.openxmlformats.org/officeDocument/2006/relationships/ctrlProp" Target="../ctrlProps/ctrlProp337.xml"/><Relationship Id="rId50" Type="http://schemas.openxmlformats.org/officeDocument/2006/relationships/ctrlProp" Target="../ctrlProps/ctrlProp353.xml"/><Relationship Id="rId55" Type="http://schemas.openxmlformats.org/officeDocument/2006/relationships/ctrlProp" Target="../ctrlProps/ctrlProp358.xml"/><Relationship Id="rId76" Type="http://schemas.openxmlformats.org/officeDocument/2006/relationships/ctrlProp" Target="../ctrlProps/ctrlProp379.xml"/><Relationship Id="rId97" Type="http://schemas.openxmlformats.org/officeDocument/2006/relationships/ctrlProp" Target="../ctrlProps/ctrlProp400.xml"/><Relationship Id="rId104" Type="http://schemas.openxmlformats.org/officeDocument/2006/relationships/ctrlProp" Target="../ctrlProps/ctrlProp407.xml"/><Relationship Id="rId120" Type="http://schemas.openxmlformats.org/officeDocument/2006/relationships/ctrlProp" Target="../ctrlProps/ctrlProp423.xml"/><Relationship Id="rId125" Type="http://schemas.openxmlformats.org/officeDocument/2006/relationships/ctrlProp" Target="../ctrlProps/ctrlProp428.xml"/><Relationship Id="rId141" Type="http://schemas.openxmlformats.org/officeDocument/2006/relationships/ctrlProp" Target="../ctrlProps/ctrlProp444.xml"/><Relationship Id="rId7" Type="http://schemas.openxmlformats.org/officeDocument/2006/relationships/ctrlProp" Target="../ctrlProps/ctrlProp310.xml"/><Relationship Id="rId71" Type="http://schemas.openxmlformats.org/officeDocument/2006/relationships/ctrlProp" Target="../ctrlProps/ctrlProp374.xml"/><Relationship Id="rId92" Type="http://schemas.openxmlformats.org/officeDocument/2006/relationships/ctrlProp" Target="../ctrlProps/ctrlProp395.xml"/><Relationship Id="rId2" Type="http://schemas.openxmlformats.org/officeDocument/2006/relationships/drawing" Target="../drawings/drawing11.xml"/><Relationship Id="rId29" Type="http://schemas.openxmlformats.org/officeDocument/2006/relationships/ctrlProp" Target="../ctrlProps/ctrlProp332.xml"/><Relationship Id="rId24" Type="http://schemas.openxmlformats.org/officeDocument/2006/relationships/ctrlProp" Target="../ctrlProps/ctrlProp327.xml"/><Relationship Id="rId40" Type="http://schemas.openxmlformats.org/officeDocument/2006/relationships/ctrlProp" Target="../ctrlProps/ctrlProp343.xml"/><Relationship Id="rId45" Type="http://schemas.openxmlformats.org/officeDocument/2006/relationships/ctrlProp" Target="../ctrlProps/ctrlProp348.xml"/><Relationship Id="rId66" Type="http://schemas.openxmlformats.org/officeDocument/2006/relationships/ctrlProp" Target="../ctrlProps/ctrlProp369.xml"/><Relationship Id="rId87" Type="http://schemas.openxmlformats.org/officeDocument/2006/relationships/ctrlProp" Target="../ctrlProps/ctrlProp390.xml"/><Relationship Id="rId110" Type="http://schemas.openxmlformats.org/officeDocument/2006/relationships/ctrlProp" Target="../ctrlProps/ctrlProp413.xml"/><Relationship Id="rId115" Type="http://schemas.openxmlformats.org/officeDocument/2006/relationships/ctrlProp" Target="../ctrlProps/ctrlProp418.xml"/><Relationship Id="rId131" Type="http://schemas.openxmlformats.org/officeDocument/2006/relationships/ctrlProp" Target="../ctrlProps/ctrlProp434.xml"/><Relationship Id="rId136" Type="http://schemas.openxmlformats.org/officeDocument/2006/relationships/ctrlProp" Target="../ctrlProps/ctrlProp439.xml"/><Relationship Id="rId61" Type="http://schemas.openxmlformats.org/officeDocument/2006/relationships/ctrlProp" Target="../ctrlProps/ctrlProp364.xml"/><Relationship Id="rId82" Type="http://schemas.openxmlformats.org/officeDocument/2006/relationships/ctrlProp" Target="../ctrlProps/ctrlProp385.xml"/><Relationship Id="rId19" Type="http://schemas.openxmlformats.org/officeDocument/2006/relationships/ctrlProp" Target="../ctrlProps/ctrlProp322.xml"/><Relationship Id="rId14" Type="http://schemas.openxmlformats.org/officeDocument/2006/relationships/ctrlProp" Target="../ctrlProps/ctrlProp317.xml"/><Relationship Id="rId30" Type="http://schemas.openxmlformats.org/officeDocument/2006/relationships/ctrlProp" Target="../ctrlProps/ctrlProp333.xml"/><Relationship Id="rId35" Type="http://schemas.openxmlformats.org/officeDocument/2006/relationships/ctrlProp" Target="../ctrlProps/ctrlProp338.xml"/><Relationship Id="rId56" Type="http://schemas.openxmlformats.org/officeDocument/2006/relationships/ctrlProp" Target="../ctrlProps/ctrlProp359.xml"/><Relationship Id="rId77" Type="http://schemas.openxmlformats.org/officeDocument/2006/relationships/ctrlProp" Target="../ctrlProps/ctrlProp380.xml"/><Relationship Id="rId100" Type="http://schemas.openxmlformats.org/officeDocument/2006/relationships/ctrlProp" Target="../ctrlProps/ctrlProp403.xml"/><Relationship Id="rId105" Type="http://schemas.openxmlformats.org/officeDocument/2006/relationships/ctrlProp" Target="../ctrlProps/ctrlProp408.xml"/><Relationship Id="rId126" Type="http://schemas.openxmlformats.org/officeDocument/2006/relationships/ctrlProp" Target="../ctrlProps/ctrlProp429.xml"/><Relationship Id="rId8" Type="http://schemas.openxmlformats.org/officeDocument/2006/relationships/ctrlProp" Target="../ctrlProps/ctrlProp311.xml"/><Relationship Id="rId51" Type="http://schemas.openxmlformats.org/officeDocument/2006/relationships/ctrlProp" Target="../ctrlProps/ctrlProp354.xml"/><Relationship Id="rId72" Type="http://schemas.openxmlformats.org/officeDocument/2006/relationships/ctrlProp" Target="../ctrlProps/ctrlProp375.xml"/><Relationship Id="rId93" Type="http://schemas.openxmlformats.org/officeDocument/2006/relationships/ctrlProp" Target="../ctrlProps/ctrlProp396.xml"/><Relationship Id="rId98" Type="http://schemas.openxmlformats.org/officeDocument/2006/relationships/ctrlProp" Target="../ctrlProps/ctrlProp401.xml"/><Relationship Id="rId121" Type="http://schemas.openxmlformats.org/officeDocument/2006/relationships/ctrlProp" Target="../ctrlProps/ctrlProp424.xml"/><Relationship Id="rId142" Type="http://schemas.openxmlformats.org/officeDocument/2006/relationships/ctrlProp" Target="../ctrlProps/ctrlProp445.xml"/><Relationship Id="rId3" Type="http://schemas.openxmlformats.org/officeDocument/2006/relationships/vmlDrawing" Target="../drawings/vmlDrawing6.vml"/><Relationship Id="rId25" Type="http://schemas.openxmlformats.org/officeDocument/2006/relationships/ctrlProp" Target="../ctrlProps/ctrlProp328.xml"/><Relationship Id="rId46" Type="http://schemas.openxmlformats.org/officeDocument/2006/relationships/ctrlProp" Target="../ctrlProps/ctrlProp349.xml"/><Relationship Id="rId67" Type="http://schemas.openxmlformats.org/officeDocument/2006/relationships/ctrlProp" Target="../ctrlProps/ctrlProp370.xml"/><Relationship Id="rId116" Type="http://schemas.openxmlformats.org/officeDocument/2006/relationships/ctrlProp" Target="../ctrlProps/ctrlProp419.xml"/><Relationship Id="rId137" Type="http://schemas.openxmlformats.org/officeDocument/2006/relationships/ctrlProp" Target="../ctrlProps/ctrlProp440.xml"/><Relationship Id="rId20" Type="http://schemas.openxmlformats.org/officeDocument/2006/relationships/ctrlProp" Target="../ctrlProps/ctrlProp323.xml"/><Relationship Id="rId41" Type="http://schemas.openxmlformats.org/officeDocument/2006/relationships/ctrlProp" Target="../ctrlProps/ctrlProp344.xml"/><Relationship Id="rId62" Type="http://schemas.openxmlformats.org/officeDocument/2006/relationships/ctrlProp" Target="../ctrlProps/ctrlProp365.xml"/><Relationship Id="rId83" Type="http://schemas.openxmlformats.org/officeDocument/2006/relationships/ctrlProp" Target="../ctrlProps/ctrlProp386.xml"/><Relationship Id="rId88" Type="http://schemas.openxmlformats.org/officeDocument/2006/relationships/ctrlProp" Target="../ctrlProps/ctrlProp391.xml"/><Relationship Id="rId111" Type="http://schemas.openxmlformats.org/officeDocument/2006/relationships/ctrlProp" Target="../ctrlProps/ctrlProp414.xml"/><Relationship Id="rId132" Type="http://schemas.openxmlformats.org/officeDocument/2006/relationships/ctrlProp" Target="../ctrlProps/ctrlProp435.xml"/><Relationship Id="rId15" Type="http://schemas.openxmlformats.org/officeDocument/2006/relationships/ctrlProp" Target="../ctrlProps/ctrlProp318.xml"/><Relationship Id="rId36" Type="http://schemas.openxmlformats.org/officeDocument/2006/relationships/ctrlProp" Target="../ctrlProps/ctrlProp339.xml"/><Relationship Id="rId57" Type="http://schemas.openxmlformats.org/officeDocument/2006/relationships/ctrlProp" Target="../ctrlProps/ctrlProp360.xml"/><Relationship Id="rId106" Type="http://schemas.openxmlformats.org/officeDocument/2006/relationships/ctrlProp" Target="../ctrlProps/ctrlProp409.xml"/><Relationship Id="rId127" Type="http://schemas.openxmlformats.org/officeDocument/2006/relationships/ctrlProp" Target="../ctrlProps/ctrlProp430.xml"/><Relationship Id="rId10" Type="http://schemas.openxmlformats.org/officeDocument/2006/relationships/ctrlProp" Target="../ctrlProps/ctrlProp313.xml"/><Relationship Id="rId31" Type="http://schemas.openxmlformats.org/officeDocument/2006/relationships/ctrlProp" Target="../ctrlProps/ctrlProp334.xml"/><Relationship Id="rId52" Type="http://schemas.openxmlformats.org/officeDocument/2006/relationships/ctrlProp" Target="../ctrlProps/ctrlProp355.xml"/><Relationship Id="rId73" Type="http://schemas.openxmlformats.org/officeDocument/2006/relationships/ctrlProp" Target="../ctrlProps/ctrlProp376.xml"/><Relationship Id="rId78" Type="http://schemas.openxmlformats.org/officeDocument/2006/relationships/ctrlProp" Target="../ctrlProps/ctrlProp381.xml"/><Relationship Id="rId94" Type="http://schemas.openxmlformats.org/officeDocument/2006/relationships/ctrlProp" Target="../ctrlProps/ctrlProp397.xml"/><Relationship Id="rId99" Type="http://schemas.openxmlformats.org/officeDocument/2006/relationships/ctrlProp" Target="../ctrlProps/ctrlProp402.xml"/><Relationship Id="rId101" Type="http://schemas.openxmlformats.org/officeDocument/2006/relationships/ctrlProp" Target="../ctrlProps/ctrlProp404.xml"/><Relationship Id="rId122" Type="http://schemas.openxmlformats.org/officeDocument/2006/relationships/ctrlProp" Target="../ctrlProps/ctrlProp425.xml"/><Relationship Id="rId143" Type="http://schemas.openxmlformats.org/officeDocument/2006/relationships/comments" Target="../comments6.xml"/><Relationship Id="rId4" Type="http://schemas.openxmlformats.org/officeDocument/2006/relationships/ctrlProp" Target="../ctrlProps/ctrlProp307.xml"/><Relationship Id="rId9" Type="http://schemas.openxmlformats.org/officeDocument/2006/relationships/ctrlProp" Target="../ctrlProps/ctrlProp312.xml"/><Relationship Id="rId26" Type="http://schemas.openxmlformats.org/officeDocument/2006/relationships/ctrlProp" Target="../ctrlProps/ctrlProp329.xml"/><Relationship Id="rId47" Type="http://schemas.openxmlformats.org/officeDocument/2006/relationships/ctrlProp" Target="../ctrlProps/ctrlProp350.xml"/><Relationship Id="rId68" Type="http://schemas.openxmlformats.org/officeDocument/2006/relationships/ctrlProp" Target="../ctrlProps/ctrlProp371.xml"/><Relationship Id="rId89" Type="http://schemas.openxmlformats.org/officeDocument/2006/relationships/ctrlProp" Target="../ctrlProps/ctrlProp392.xml"/><Relationship Id="rId112" Type="http://schemas.openxmlformats.org/officeDocument/2006/relationships/ctrlProp" Target="../ctrlProps/ctrlProp415.xml"/><Relationship Id="rId133" Type="http://schemas.openxmlformats.org/officeDocument/2006/relationships/ctrlProp" Target="../ctrlProps/ctrlProp436.xml"/><Relationship Id="rId16" Type="http://schemas.openxmlformats.org/officeDocument/2006/relationships/ctrlProp" Target="../ctrlProps/ctrlProp319.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449.xml"/><Relationship Id="rId2" Type="http://schemas.openxmlformats.org/officeDocument/2006/relationships/drawing" Target="../drawings/drawing12.xml"/><Relationship Id="rId1" Type="http://schemas.openxmlformats.org/officeDocument/2006/relationships/printerSettings" Target="../printerSettings/printerSettings19.bin"/><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453.xml"/><Relationship Id="rId2" Type="http://schemas.openxmlformats.org/officeDocument/2006/relationships/drawing" Target="../drawings/drawing15.xml"/><Relationship Id="rId1" Type="http://schemas.openxmlformats.org/officeDocument/2006/relationships/printerSettings" Target="../printerSettings/printerSettings22.bin"/><Relationship Id="rId6" Type="http://schemas.openxmlformats.org/officeDocument/2006/relationships/ctrlProp" Target="../ctrlProps/ctrlProp452.xml"/><Relationship Id="rId5" Type="http://schemas.openxmlformats.org/officeDocument/2006/relationships/ctrlProp" Target="../ctrlProps/ctrlProp451.xml"/><Relationship Id="rId4" Type="http://schemas.openxmlformats.org/officeDocument/2006/relationships/ctrlProp" Target="../ctrlProps/ctrlProp450.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457.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456.xml"/><Relationship Id="rId5" Type="http://schemas.openxmlformats.org/officeDocument/2006/relationships/ctrlProp" Target="../ctrlProps/ctrlProp455.xml"/><Relationship Id="rId4" Type="http://schemas.openxmlformats.org/officeDocument/2006/relationships/ctrlProp" Target="../ctrlProps/ctrlProp45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62.xml"/><Relationship Id="rId3" Type="http://schemas.openxmlformats.org/officeDocument/2006/relationships/vmlDrawing" Target="../drawings/vmlDrawing12.vml"/><Relationship Id="rId7" Type="http://schemas.openxmlformats.org/officeDocument/2006/relationships/ctrlProp" Target="../ctrlProps/ctrlProp461.xml"/><Relationship Id="rId2" Type="http://schemas.openxmlformats.org/officeDocument/2006/relationships/drawing" Target="../drawings/drawing17.xml"/><Relationship Id="rId1" Type="http://schemas.openxmlformats.org/officeDocument/2006/relationships/printerSettings" Target="../printerSettings/printerSettings24.bin"/><Relationship Id="rId6" Type="http://schemas.openxmlformats.org/officeDocument/2006/relationships/ctrlProp" Target="../ctrlProps/ctrlProp460.xml"/><Relationship Id="rId5" Type="http://schemas.openxmlformats.org/officeDocument/2006/relationships/ctrlProp" Target="../ctrlProps/ctrlProp459.xml"/><Relationship Id="rId10" Type="http://schemas.openxmlformats.org/officeDocument/2006/relationships/comments" Target="../comments12.xml"/><Relationship Id="rId4" Type="http://schemas.openxmlformats.org/officeDocument/2006/relationships/ctrlProp" Target="../ctrlProps/ctrlProp458.xml"/><Relationship Id="rId9" Type="http://schemas.openxmlformats.org/officeDocument/2006/relationships/ctrlProp" Target="../ctrlProps/ctrlProp46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68.xml"/><Relationship Id="rId13" Type="http://schemas.openxmlformats.org/officeDocument/2006/relationships/ctrlProp" Target="../ctrlProps/ctrlProp473.xml"/><Relationship Id="rId18" Type="http://schemas.openxmlformats.org/officeDocument/2006/relationships/ctrlProp" Target="../ctrlProps/ctrlProp478.xml"/><Relationship Id="rId26" Type="http://schemas.openxmlformats.org/officeDocument/2006/relationships/ctrlProp" Target="../ctrlProps/ctrlProp486.xml"/><Relationship Id="rId3" Type="http://schemas.openxmlformats.org/officeDocument/2006/relationships/vmlDrawing" Target="../drawings/vmlDrawing13.vml"/><Relationship Id="rId21" Type="http://schemas.openxmlformats.org/officeDocument/2006/relationships/ctrlProp" Target="../ctrlProps/ctrlProp481.xml"/><Relationship Id="rId7" Type="http://schemas.openxmlformats.org/officeDocument/2006/relationships/ctrlProp" Target="../ctrlProps/ctrlProp467.xml"/><Relationship Id="rId12" Type="http://schemas.openxmlformats.org/officeDocument/2006/relationships/ctrlProp" Target="../ctrlProps/ctrlProp472.xml"/><Relationship Id="rId17" Type="http://schemas.openxmlformats.org/officeDocument/2006/relationships/ctrlProp" Target="../ctrlProps/ctrlProp477.xml"/><Relationship Id="rId25" Type="http://schemas.openxmlformats.org/officeDocument/2006/relationships/ctrlProp" Target="../ctrlProps/ctrlProp485.xml"/><Relationship Id="rId2" Type="http://schemas.openxmlformats.org/officeDocument/2006/relationships/drawing" Target="../drawings/drawing18.xml"/><Relationship Id="rId16" Type="http://schemas.openxmlformats.org/officeDocument/2006/relationships/ctrlProp" Target="../ctrlProps/ctrlProp476.xml"/><Relationship Id="rId20" Type="http://schemas.openxmlformats.org/officeDocument/2006/relationships/ctrlProp" Target="../ctrlProps/ctrlProp480.xml"/><Relationship Id="rId29"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66.xml"/><Relationship Id="rId11" Type="http://schemas.openxmlformats.org/officeDocument/2006/relationships/ctrlProp" Target="../ctrlProps/ctrlProp471.xml"/><Relationship Id="rId24" Type="http://schemas.openxmlformats.org/officeDocument/2006/relationships/ctrlProp" Target="../ctrlProps/ctrlProp484.xml"/><Relationship Id="rId5" Type="http://schemas.openxmlformats.org/officeDocument/2006/relationships/ctrlProp" Target="../ctrlProps/ctrlProp465.xml"/><Relationship Id="rId15" Type="http://schemas.openxmlformats.org/officeDocument/2006/relationships/ctrlProp" Target="../ctrlProps/ctrlProp475.xml"/><Relationship Id="rId23" Type="http://schemas.openxmlformats.org/officeDocument/2006/relationships/ctrlProp" Target="../ctrlProps/ctrlProp483.xml"/><Relationship Id="rId28" Type="http://schemas.openxmlformats.org/officeDocument/2006/relationships/ctrlProp" Target="../ctrlProps/ctrlProp488.xml"/><Relationship Id="rId10" Type="http://schemas.openxmlformats.org/officeDocument/2006/relationships/ctrlProp" Target="../ctrlProps/ctrlProp470.xml"/><Relationship Id="rId19" Type="http://schemas.openxmlformats.org/officeDocument/2006/relationships/ctrlProp" Target="../ctrlProps/ctrlProp479.xml"/><Relationship Id="rId4" Type="http://schemas.openxmlformats.org/officeDocument/2006/relationships/ctrlProp" Target="../ctrlProps/ctrlProp464.xml"/><Relationship Id="rId9" Type="http://schemas.openxmlformats.org/officeDocument/2006/relationships/ctrlProp" Target="../ctrlProps/ctrlProp469.xml"/><Relationship Id="rId14" Type="http://schemas.openxmlformats.org/officeDocument/2006/relationships/ctrlProp" Target="../ctrlProps/ctrlProp474.xml"/><Relationship Id="rId22" Type="http://schemas.openxmlformats.org/officeDocument/2006/relationships/ctrlProp" Target="../ctrlProps/ctrlProp482.xml"/><Relationship Id="rId27" Type="http://schemas.openxmlformats.org/officeDocument/2006/relationships/ctrlProp" Target="../ctrlProps/ctrlProp487.xml"/><Relationship Id="rId30"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93.xml"/><Relationship Id="rId13" Type="http://schemas.openxmlformats.org/officeDocument/2006/relationships/ctrlProp" Target="../ctrlProps/ctrlProp498.xml"/><Relationship Id="rId18" Type="http://schemas.openxmlformats.org/officeDocument/2006/relationships/comments" Target="../comments14.xml"/><Relationship Id="rId3" Type="http://schemas.openxmlformats.org/officeDocument/2006/relationships/drawing" Target="../drawings/drawing19.xml"/><Relationship Id="rId7" Type="http://schemas.openxmlformats.org/officeDocument/2006/relationships/ctrlProp" Target="../ctrlProps/ctrlProp492.xml"/><Relationship Id="rId12" Type="http://schemas.openxmlformats.org/officeDocument/2006/relationships/ctrlProp" Target="../ctrlProps/ctrlProp497.xml"/><Relationship Id="rId17" Type="http://schemas.openxmlformats.org/officeDocument/2006/relationships/ctrlProp" Target="../ctrlProps/ctrlProp502.xml"/><Relationship Id="rId2" Type="http://schemas.openxmlformats.org/officeDocument/2006/relationships/printerSettings" Target="../printerSettings/printerSettings26.bin"/><Relationship Id="rId16" Type="http://schemas.openxmlformats.org/officeDocument/2006/relationships/ctrlProp" Target="../ctrlProps/ctrlProp501.xml"/><Relationship Id="rId1" Type="http://schemas.openxmlformats.org/officeDocument/2006/relationships/hyperlink" Target="https://www.flat35.com/business/download/index.html" TargetMode="External"/><Relationship Id="rId6" Type="http://schemas.openxmlformats.org/officeDocument/2006/relationships/ctrlProp" Target="../ctrlProps/ctrlProp491.xml"/><Relationship Id="rId11" Type="http://schemas.openxmlformats.org/officeDocument/2006/relationships/ctrlProp" Target="../ctrlProps/ctrlProp496.xml"/><Relationship Id="rId5" Type="http://schemas.openxmlformats.org/officeDocument/2006/relationships/ctrlProp" Target="../ctrlProps/ctrlProp490.xml"/><Relationship Id="rId15" Type="http://schemas.openxmlformats.org/officeDocument/2006/relationships/ctrlProp" Target="../ctrlProps/ctrlProp500.xml"/><Relationship Id="rId10" Type="http://schemas.openxmlformats.org/officeDocument/2006/relationships/ctrlProp" Target="../ctrlProps/ctrlProp495.xml"/><Relationship Id="rId4" Type="http://schemas.openxmlformats.org/officeDocument/2006/relationships/vmlDrawing" Target="../drawings/vmlDrawing14.vml"/><Relationship Id="rId9" Type="http://schemas.openxmlformats.org/officeDocument/2006/relationships/ctrlProp" Target="../ctrlProps/ctrlProp494.xml"/><Relationship Id="rId14" Type="http://schemas.openxmlformats.org/officeDocument/2006/relationships/ctrlProp" Target="../ctrlProps/ctrlProp49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06.xml"/><Relationship Id="rId3" Type="http://schemas.openxmlformats.org/officeDocument/2006/relationships/drawing" Target="../drawings/drawing20.xml"/><Relationship Id="rId7" Type="http://schemas.openxmlformats.org/officeDocument/2006/relationships/ctrlProp" Target="../ctrlProps/ctrlProp505.xml"/><Relationship Id="rId2" Type="http://schemas.openxmlformats.org/officeDocument/2006/relationships/printerSettings" Target="../printerSettings/printerSettings27.bin"/><Relationship Id="rId1" Type="http://schemas.openxmlformats.org/officeDocument/2006/relationships/hyperlink" Target="mailto:kensa@ikjc.or.jp" TargetMode="External"/><Relationship Id="rId6" Type="http://schemas.openxmlformats.org/officeDocument/2006/relationships/ctrlProp" Target="../ctrlProps/ctrlProp504.xml"/><Relationship Id="rId5" Type="http://schemas.openxmlformats.org/officeDocument/2006/relationships/ctrlProp" Target="../ctrlProps/ctrlProp503.xml"/><Relationship Id="rId10" Type="http://schemas.openxmlformats.org/officeDocument/2006/relationships/comments" Target="../comments15.xml"/><Relationship Id="rId4" Type="http://schemas.openxmlformats.org/officeDocument/2006/relationships/vmlDrawing" Target="../drawings/vmlDrawing15.vml"/><Relationship Id="rId9" Type="http://schemas.openxmlformats.org/officeDocument/2006/relationships/ctrlProp" Target="../ctrlProps/ctrlProp50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17.xml"/><Relationship Id="rId18" Type="http://schemas.openxmlformats.org/officeDocument/2006/relationships/ctrlProp" Target="../ctrlProps/ctrlProp522.xml"/><Relationship Id="rId26" Type="http://schemas.openxmlformats.org/officeDocument/2006/relationships/ctrlProp" Target="../ctrlProps/ctrlProp530.xml"/><Relationship Id="rId3" Type="http://schemas.openxmlformats.org/officeDocument/2006/relationships/vmlDrawing" Target="../drawings/vmlDrawing16.vml"/><Relationship Id="rId21" Type="http://schemas.openxmlformats.org/officeDocument/2006/relationships/ctrlProp" Target="../ctrlProps/ctrlProp525.xml"/><Relationship Id="rId34" Type="http://schemas.openxmlformats.org/officeDocument/2006/relationships/comments" Target="../comments16.xml"/><Relationship Id="rId7" Type="http://schemas.openxmlformats.org/officeDocument/2006/relationships/ctrlProp" Target="../ctrlProps/ctrlProp511.xml"/><Relationship Id="rId12" Type="http://schemas.openxmlformats.org/officeDocument/2006/relationships/ctrlProp" Target="../ctrlProps/ctrlProp516.xml"/><Relationship Id="rId17" Type="http://schemas.openxmlformats.org/officeDocument/2006/relationships/ctrlProp" Target="../ctrlProps/ctrlProp521.xml"/><Relationship Id="rId25" Type="http://schemas.openxmlformats.org/officeDocument/2006/relationships/ctrlProp" Target="../ctrlProps/ctrlProp529.xml"/><Relationship Id="rId33" Type="http://schemas.openxmlformats.org/officeDocument/2006/relationships/ctrlProp" Target="../ctrlProps/ctrlProp537.xml"/><Relationship Id="rId2" Type="http://schemas.openxmlformats.org/officeDocument/2006/relationships/drawing" Target="../drawings/drawing21.xml"/><Relationship Id="rId16" Type="http://schemas.openxmlformats.org/officeDocument/2006/relationships/ctrlProp" Target="../ctrlProps/ctrlProp520.xml"/><Relationship Id="rId20" Type="http://schemas.openxmlformats.org/officeDocument/2006/relationships/ctrlProp" Target="../ctrlProps/ctrlProp524.xml"/><Relationship Id="rId29" Type="http://schemas.openxmlformats.org/officeDocument/2006/relationships/ctrlProp" Target="../ctrlProps/ctrlProp533.xml"/><Relationship Id="rId1" Type="http://schemas.openxmlformats.org/officeDocument/2006/relationships/printerSettings" Target="../printerSettings/printerSettings28.bin"/><Relationship Id="rId6" Type="http://schemas.openxmlformats.org/officeDocument/2006/relationships/ctrlProp" Target="../ctrlProps/ctrlProp510.xml"/><Relationship Id="rId11" Type="http://schemas.openxmlformats.org/officeDocument/2006/relationships/ctrlProp" Target="../ctrlProps/ctrlProp515.xml"/><Relationship Id="rId24" Type="http://schemas.openxmlformats.org/officeDocument/2006/relationships/ctrlProp" Target="../ctrlProps/ctrlProp528.xml"/><Relationship Id="rId32" Type="http://schemas.openxmlformats.org/officeDocument/2006/relationships/ctrlProp" Target="../ctrlProps/ctrlProp536.xml"/><Relationship Id="rId5" Type="http://schemas.openxmlformats.org/officeDocument/2006/relationships/ctrlProp" Target="../ctrlProps/ctrlProp509.xml"/><Relationship Id="rId15" Type="http://schemas.openxmlformats.org/officeDocument/2006/relationships/ctrlProp" Target="../ctrlProps/ctrlProp519.xml"/><Relationship Id="rId23" Type="http://schemas.openxmlformats.org/officeDocument/2006/relationships/ctrlProp" Target="../ctrlProps/ctrlProp527.xml"/><Relationship Id="rId28" Type="http://schemas.openxmlformats.org/officeDocument/2006/relationships/ctrlProp" Target="../ctrlProps/ctrlProp532.xml"/><Relationship Id="rId10" Type="http://schemas.openxmlformats.org/officeDocument/2006/relationships/ctrlProp" Target="../ctrlProps/ctrlProp514.xml"/><Relationship Id="rId19" Type="http://schemas.openxmlformats.org/officeDocument/2006/relationships/ctrlProp" Target="../ctrlProps/ctrlProp523.xml"/><Relationship Id="rId31" Type="http://schemas.openxmlformats.org/officeDocument/2006/relationships/ctrlProp" Target="../ctrlProps/ctrlProp535.xml"/><Relationship Id="rId4" Type="http://schemas.openxmlformats.org/officeDocument/2006/relationships/ctrlProp" Target="../ctrlProps/ctrlProp508.xml"/><Relationship Id="rId9" Type="http://schemas.openxmlformats.org/officeDocument/2006/relationships/ctrlProp" Target="../ctrlProps/ctrlProp513.xml"/><Relationship Id="rId14" Type="http://schemas.openxmlformats.org/officeDocument/2006/relationships/ctrlProp" Target="../ctrlProps/ctrlProp518.xml"/><Relationship Id="rId22" Type="http://schemas.openxmlformats.org/officeDocument/2006/relationships/ctrlProp" Target="../ctrlProps/ctrlProp526.xml"/><Relationship Id="rId27" Type="http://schemas.openxmlformats.org/officeDocument/2006/relationships/ctrlProp" Target="../ctrlProps/ctrlProp531.xml"/><Relationship Id="rId30" Type="http://schemas.openxmlformats.org/officeDocument/2006/relationships/ctrlProp" Target="../ctrlProps/ctrlProp534.xml"/><Relationship Id="rId8" Type="http://schemas.openxmlformats.org/officeDocument/2006/relationships/ctrlProp" Target="../ctrlProps/ctrlProp51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2.xml"/><Relationship Id="rId3" Type="http://schemas.openxmlformats.org/officeDocument/2006/relationships/vmlDrawing" Target="../drawings/vmlDrawing17.vml"/><Relationship Id="rId7" Type="http://schemas.openxmlformats.org/officeDocument/2006/relationships/ctrlProp" Target="../ctrlProps/ctrlProp541.xml"/><Relationship Id="rId2" Type="http://schemas.openxmlformats.org/officeDocument/2006/relationships/drawing" Target="../drawings/drawing22.xml"/><Relationship Id="rId1" Type="http://schemas.openxmlformats.org/officeDocument/2006/relationships/printerSettings" Target="../printerSettings/printerSettings29.bin"/><Relationship Id="rId6" Type="http://schemas.openxmlformats.org/officeDocument/2006/relationships/ctrlProp" Target="../ctrlProps/ctrlProp540.xml"/><Relationship Id="rId5" Type="http://schemas.openxmlformats.org/officeDocument/2006/relationships/ctrlProp" Target="../ctrlProps/ctrlProp539.xml"/><Relationship Id="rId10" Type="http://schemas.openxmlformats.org/officeDocument/2006/relationships/comments" Target="../comments17.xml"/><Relationship Id="rId4" Type="http://schemas.openxmlformats.org/officeDocument/2006/relationships/ctrlProp" Target="../ctrlProps/ctrlProp538.xml"/><Relationship Id="rId9" Type="http://schemas.openxmlformats.org/officeDocument/2006/relationships/ctrlProp" Target="../ctrlProps/ctrlProp54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48.xml"/><Relationship Id="rId13" Type="http://schemas.openxmlformats.org/officeDocument/2006/relationships/ctrlProp" Target="../ctrlProps/ctrlProp553.xml"/><Relationship Id="rId3" Type="http://schemas.openxmlformats.org/officeDocument/2006/relationships/vmlDrawing" Target="../drawings/vmlDrawing20.vml"/><Relationship Id="rId7" Type="http://schemas.openxmlformats.org/officeDocument/2006/relationships/ctrlProp" Target="../ctrlProps/ctrlProp547.xml"/><Relationship Id="rId12" Type="http://schemas.openxmlformats.org/officeDocument/2006/relationships/ctrlProp" Target="../ctrlProps/ctrlProp552.xml"/><Relationship Id="rId2" Type="http://schemas.openxmlformats.org/officeDocument/2006/relationships/drawing" Target="../drawings/drawing25.xml"/><Relationship Id="rId16" Type="http://schemas.openxmlformats.org/officeDocument/2006/relationships/comments" Target="../comments20.xml"/><Relationship Id="rId1" Type="http://schemas.openxmlformats.org/officeDocument/2006/relationships/printerSettings" Target="../printerSettings/printerSettings32.bin"/><Relationship Id="rId6" Type="http://schemas.openxmlformats.org/officeDocument/2006/relationships/ctrlProp" Target="../ctrlProps/ctrlProp546.xml"/><Relationship Id="rId11" Type="http://schemas.openxmlformats.org/officeDocument/2006/relationships/ctrlProp" Target="../ctrlProps/ctrlProp551.xml"/><Relationship Id="rId5" Type="http://schemas.openxmlformats.org/officeDocument/2006/relationships/ctrlProp" Target="../ctrlProps/ctrlProp545.xml"/><Relationship Id="rId15" Type="http://schemas.openxmlformats.org/officeDocument/2006/relationships/ctrlProp" Target="../ctrlProps/ctrlProp555.xml"/><Relationship Id="rId10" Type="http://schemas.openxmlformats.org/officeDocument/2006/relationships/ctrlProp" Target="../ctrlProps/ctrlProp550.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60.xml"/><Relationship Id="rId13" Type="http://schemas.openxmlformats.org/officeDocument/2006/relationships/ctrlProp" Target="../ctrlProps/ctrlProp565.xml"/><Relationship Id="rId3" Type="http://schemas.openxmlformats.org/officeDocument/2006/relationships/vmlDrawing" Target="../drawings/vmlDrawing21.vml"/><Relationship Id="rId7" Type="http://schemas.openxmlformats.org/officeDocument/2006/relationships/ctrlProp" Target="../ctrlProps/ctrlProp559.xml"/><Relationship Id="rId12" Type="http://schemas.openxmlformats.org/officeDocument/2006/relationships/ctrlProp" Target="../ctrlProps/ctrlProp564.xml"/><Relationship Id="rId2" Type="http://schemas.openxmlformats.org/officeDocument/2006/relationships/drawing" Target="../drawings/drawing26.xml"/><Relationship Id="rId16" Type="http://schemas.openxmlformats.org/officeDocument/2006/relationships/comments" Target="../comments21.xml"/><Relationship Id="rId1" Type="http://schemas.openxmlformats.org/officeDocument/2006/relationships/printerSettings" Target="../printerSettings/printerSettings33.bin"/><Relationship Id="rId6" Type="http://schemas.openxmlformats.org/officeDocument/2006/relationships/ctrlProp" Target="../ctrlProps/ctrlProp558.xml"/><Relationship Id="rId11" Type="http://schemas.openxmlformats.org/officeDocument/2006/relationships/ctrlProp" Target="../ctrlProps/ctrlProp563.xml"/><Relationship Id="rId5" Type="http://schemas.openxmlformats.org/officeDocument/2006/relationships/ctrlProp" Target="../ctrlProps/ctrlProp557.xml"/><Relationship Id="rId15" Type="http://schemas.openxmlformats.org/officeDocument/2006/relationships/ctrlProp" Target="../ctrlProps/ctrlProp567.xml"/><Relationship Id="rId10" Type="http://schemas.openxmlformats.org/officeDocument/2006/relationships/ctrlProp" Target="../ctrlProps/ctrlProp562.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34.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35.bin"/><Relationship Id="rId4"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36.bin"/><Relationship Id="rId4"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37.bin"/><Relationship Id="rId4"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vmlDrawing" Target="../drawings/vmlDrawing26.vml"/><Relationship Id="rId7" Type="http://schemas.openxmlformats.org/officeDocument/2006/relationships/ctrlProp" Target="../ctrlProps/ctrlProp571.xml"/><Relationship Id="rId2" Type="http://schemas.openxmlformats.org/officeDocument/2006/relationships/drawing" Target="../drawings/drawing32.xml"/><Relationship Id="rId1" Type="http://schemas.openxmlformats.org/officeDocument/2006/relationships/printerSettings" Target="../printerSettings/printerSettings39.bin"/><Relationship Id="rId6" Type="http://schemas.openxmlformats.org/officeDocument/2006/relationships/ctrlProp" Target="../ctrlProps/ctrlProp570.xml"/><Relationship Id="rId5" Type="http://schemas.openxmlformats.org/officeDocument/2006/relationships/ctrlProp" Target="../ctrlProps/ctrlProp569.xml"/><Relationship Id="rId10" Type="http://schemas.openxmlformats.org/officeDocument/2006/relationships/comments" Target="../comments26.xml"/><Relationship Id="rId4" Type="http://schemas.openxmlformats.org/officeDocument/2006/relationships/ctrlProp" Target="../ctrlProps/ctrlProp568.xml"/><Relationship Id="rId9" Type="http://schemas.openxmlformats.org/officeDocument/2006/relationships/ctrlProp" Target="../ctrlProps/ctrlProp57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N53"/>
  <sheetViews>
    <sheetView workbookViewId="0">
      <pane xSplit="1" ySplit="2" topLeftCell="B20" activePane="bottomRight" state="frozen"/>
      <selection pane="topRight"/>
      <selection pane="bottomLeft"/>
      <selection pane="bottomRight" activeCell="H1" sqref="H1"/>
    </sheetView>
  </sheetViews>
  <sheetFormatPr defaultColWidth="9" defaultRowHeight="14.25" customHeight="1"/>
  <cols>
    <col min="1" max="1" width="28.25" style="12" customWidth="1"/>
    <col min="2" max="2" width="23.375" style="12" customWidth="1"/>
    <col min="3" max="3" width="16.75" style="12" customWidth="1"/>
    <col min="4" max="5" width="3.625" style="10" customWidth="1"/>
    <col min="6" max="7" width="10.625" style="10" customWidth="1"/>
    <col min="8" max="8" width="9" style="10" customWidth="1"/>
    <col min="9" max="16384" width="9" style="10"/>
  </cols>
  <sheetData>
    <row r="1" spans="1:14" ht="63.75" customHeight="1">
      <c r="A1" s="11" t="s">
        <v>392</v>
      </c>
      <c r="B1" s="11" t="s">
        <v>395</v>
      </c>
      <c r="C1" s="11" t="s">
        <v>394</v>
      </c>
      <c r="D1" s="1225" t="s">
        <v>2418</v>
      </c>
      <c r="E1" s="1225"/>
      <c r="F1" s="187" t="s">
        <v>2417</v>
      </c>
      <c r="G1" s="10" t="s">
        <v>3632</v>
      </c>
      <c r="H1" s="10" t="s">
        <v>2818</v>
      </c>
      <c r="I1" s="10" t="s">
        <v>2820</v>
      </c>
      <c r="J1" s="10" t="s">
        <v>2823</v>
      </c>
      <c r="K1" s="10" t="s">
        <v>2825</v>
      </c>
      <c r="L1" s="10" t="s">
        <v>109</v>
      </c>
      <c r="M1" s="10" t="s">
        <v>3629</v>
      </c>
      <c r="N1" s="10" t="s">
        <v>2758</v>
      </c>
    </row>
    <row r="2" spans="1:14" ht="14.25" customHeight="1">
      <c r="G2" s="187">
        <f t="shared" ref="G2:K2" si="0">IF(cst__output_sheetname=G1, 1, 0)</f>
        <v>0</v>
      </c>
      <c r="H2" s="187">
        <f t="shared" si="0"/>
        <v>0</v>
      </c>
      <c r="I2" s="187">
        <f t="shared" si="0"/>
        <v>0</v>
      </c>
      <c r="J2" s="187">
        <f t="shared" si="0"/>
        <v>0</v>
      </c>
      <c r="K2" s="187">
        <f t="shared" si="0"/>
        <v>0</v>
      </c>
      <c r="L2" s="187">
        <f t="shared" ref="L2" si="1">IF(cst__output_sheetname=L1, 1, 0)</f>
        <v>0</v>
      </c>
      <c r="M2" s="187">
        <f>IF(cst__output_sheetname=M1, 1, 0)</f>
        <v>1</v>
      </c>
      <c r="N2" s="187">
        <f>IF(cst__output_sheetname=N1, 1, 0)</f>
        <v>0</v>
      </c>
    </row>
    <row r="4" spans="1:14" ht="14.25" customHeight="1">
      <c r="A4" s="12" t="s">
        <v>2433</v>
      </c>
      <c r="B4" s="12">
        <v>-2</v>
      </c>
      <c r="C4" s="12">
        <v>-2</v>
      </c>
    </row>
    <row r="5" spans="1:14" ht="14.25" customHeight="1">
      <c r="A5" s="12" t="s">
        <v>396</v>
      </c>
      <c r="B5" s="12">
        <v>-2</v>
      </c>
      <c r="C5" s="12">
        <v>-2</v>
      </c>
    </row>
    <row r="6" spans="1:14" ht="14.25" customHeight="1">
      <c r="A6" s="12" t="s">
        <v>397</v>
      </c>
      <c r="B6" s="12">
        <v>-2</v>
      </c>
      <c r="C6" s="12">
        <v>-2</v>
      </c>
    </row>
    <row r="7" spans="1:14" ht="14.25" customHeight="1">
      <c r="A7" s="12" t="s">
        <v>3723</v>
      </c>
      <c r="B7" s="12">
        <v>-2</v>
      </c>
      <c r="C7" s="12">
        <v>-2</v>
      </c>
    </row>
    <row r="8" spans="1:14" ht="14.25" customHeight="1">
      <c r="A8" s="12" t="s">
        <v>1230</v>
      </c>
      <c r="B8" s="12">
        <v>-2</v>
      </c>
      <c r="C8" s="12">
        <v>-2</v>
      </c>
    </row>
    <row r="9" spans="1:14" ht="14.25" customHeight="1">
      <c r="A9" s="12" t="s">
        <v>398</v>
      </c>
      <c r="B9" s="12">
        <v>-2</v>
      </c>
      <c r="C9" s="12">
        <v>-2</v>
      </c>
    </row>
    <row r="10" spans="1:14" ht="14.25" customHeight="1">
      <c r="A10" s="12" t="s">
        <v>504</v>
      </c>
      <c r="B10" s="12">
        <f t="shared" ref="B10:B11" si="2">D10</f>
        <v>-2</v>
      </c>
      <c r="D10" s="10">
        <f>IF(F10&lt;&gt;"",IF(F10=1,IF(F10+E10=2,1,-2),F10),IF(E10=0,-2,E10))</f>
        <v>-2</v>
      </c>
      <c r="E10" s="10">
        <f>IF(cst__output_sheetname="", 1, 0)+IF(AND(G10=1,G$2=1), 1, 0)</f>
        <v>0</v>
      </c>
      <c r="F10" s="188">
        <v>-2</v>
      </c>
    </row>
    <row r="11" spans="1:14" ht="14.25" customHeight="1">
      <c r="A11" s="12" t="s">
        <v>505</v>
      </c>
      <c r="B11" s="12">
        <f t="shared" si="2"/>
        <v>-2</v>
      </c>
      <c r="D11" s="10">
        <f t="shared" ref="D11:D48" si="3">IF(F11&lt;&gt;"",IF(F11=1,IF(F11+E11=2,1,-2),F11),IF(E11=0,-2,E11))</f>
        <v>-2</v>
      </c>
      <c r="E11" s="10">
        <f>IF(cst__output_sheetname="", 1, 0)+IF(AND(G11=1,G$2=1), 1, 0)</f>
        <v>0</v>
      </c>
      <c r="F11" s="188">
        <v>-2</v>
      </c>
    </row>
    <row r="12" spans="1:14" ht="14.25" customHeight="1">
      <c r="D12" s="10">
        <f t="shared" si="3"/>
        <v>-2</v>
      </c>
    </row>
    <row r="13" spans="1:14" ht="14.25" customHeight="1">
      <c r="D13" s="10">
        <f t="shared" si="3"/>
        <v>-2</v>
      </c>
    </row>
    <row r="14" spans="1:14" ht="14.25" customHeight="1">
      <c r="D14" s="10">
        <f t="shared" si="3"/>
        <v>-2</v>
      </c>
    </row>
    <row r="15" spans="1:14" ht="14.25" customHeight="1">
      <c r="D15" s="10">
        <f t="shared" si="3"/>
        <v>-2</v>
      </c>
    </row>
    <row r="16" spans="1:14" ht="14.25" customHeight="1">
      <c r="A16" s="12" t="s">
        <v>2712</v>
      </c>
      <c r="B16" s="12">
        <f t="shared" ref="B16:B50" si="4">D16</f>
        <v>1</v>
      </c>
      <c r="D16" s="10">
        <f>IF(F16&lt;&gt;"",IF(F16=1,IF(F16+E16=2,1,-2),F16),IF(E16=0,-2,E16))</f>
        <v>1</v>
      </c>
      <c r="E16" s="10">
        <f t="shared" ref="E16:E48" si="5">IF(cst__output_sheetname="", 1, 0)+IF(AND(G16=1,G$2=1), 1, 0)+IF(AND(H16=1,H$2=1), 1, 0)+IF(AND(I16=1,I$2=1), 1, 0)+IF(AND(J16=1,J$2=1), 1, 0)+IF(AND(K16=1,K$2=1), 1, 0)+IF(AND(L16=1,L$2=1), 1, 0)+IF(AND(M16=1,M$2=1), 1, 0)+IF(AND(N16=1,N$2=1), 1, 0)</f>
        <v>1</v>
      </c>
      <c r="H16" s="10">
        <v>1</v>
      </c>
      <c r="I16" s="10">
        <v>1</v>
      </c>
      <c r="J16" s="10">
        <v>1</v>
      </c>
      <c r="K16" s="10">
        <v>1</v>
      </c>
      <c r="L16" s="10">
        <v>1</v>
      </c>
      <c r="M16" s="10">
        <v>1</v>
      </c>
      <c r="N16" s="10">
        <v>1</v>
      </c>
    </row>
    <row r="17" spans="1:14" ht="14.25" customHeight="1">
      <c r="A17" s="12" t="s">
        <v>3724</v>
      </c>
      <c r="B17" s="12">
        <f t="shared" ref="B17" si="6">D17</f>
        <v>-2</v>
      </c>
      <c r="D17" s="10">
        <f>IF(F17&lt;&gt;"",IF(F17=1,IF(F17+E17=2,1,-2),F17),IF(E17=0,-2,E17))</f>
        <v>-2</v>
      </c>
      <c r="E17" s="10">
        <f t="shared" si="5"/>
        <v>0</v>
      </c>
      <c r="G17" s="10">
        <v>1</v>
      </c>
    </row>
    <row r="18" spans="1:14" ht="14.25" customHeight="1">
      <c r="A18" s="12" t="s">
        <v>2744</v>
      </c>
      <c r="B18" s="12">
        <f t="shared" si="4"/>
        <v>-2</v>
      </c>
      <c r="D18" s="10">
        <f t="shared" si="3"/>
        <v>-2</v>
      </c>
      <c r="E18" s="10">
        <f t="shared" si="5"/>
        <v>0</v>
      </c>
      <c r="G18" s="10">
        <v>1</v>
      </c>
    </row>
    <row r="19" spans="1:14" ht="14.25" customHeight="1">
      <c r="A19" s="12" t="s">
        <v>3623</v>
      </c>
      <c r="B19" s="12">
        <f t="shared" si="4"/>
        <v>-2</v>
      </c>
      <c r="D19" s="10">
        <f t="shared" si="3"/>
        <v>-2</v>
      </c>
      <c r="E19" s="10">
        <f t="shared" si="5"/>
        <v>0</v>
      </c>
      <c r="L19" s="10">
        <v>1</v>
      </c>
    </row>
    <row r="20" spans="1:14" ht="14.25" customHeight="1">
      <c r="A20" s="12" t="s">
        <v>3728</v>
      </c>
      <c r="B20" s="12">
        <f t="shared" ref="B20" si="7">D20</f>
        <v>-2</v>
      </c>
      <c r="D20" s="10">
        <f t="shared" ref="D20" si="8">IF(F20&lt;&gt;"",IF(F20=1,IF(F20+E20=2,1,-2),F20),IF(E20=0,-2,E20))</f>
        <v>-2</v>
      </c>
      <c r="E20" s="10">
        <f t="shared" si="5"/>
        <v>0</v>
      </c>
      <c r="G20" s="10">
        <v>1</v>
      </c>
    </row>
    <row r="21" spans="1:14" ht="14.25" customHeight="1">
      <c r="A21" s="12" t="s">
        <v>2746</v>
      </c>
      <c r="B21" s="12">
        <f t="shared" si="4"/>
        <v>-2</v>
      </c>
      <c r="D21" s="10">
        <f t="shared" si="3"/>
        <v>-2</v>
      </c>
      <c r="E21" s="10">
        <f t="shared" si="5"/>
        <v>0</v>
      </c>
      <c r="G21" s="10">
        <v>1</v>
      </c>
    </row>
    <row r="22" spans="1:14" ht="14.25" customHeight="1">
      <c r="A22" s="12" t="s">
        <v>3624</v>
      </c>
      <c r="B22" s="12">
        <f t="shared" si="4"/>
        <v>-2</v>
      </c>
      <c r="D22" s="10">
        <f t="shared" si="3"/>
        <v>-2</v>
      </c>
      <c r="E22" s="10">
        <f t="shared" si="5"/>
        <v>0</v>
      </c>
      <c r="G22" s="10">
        <v>1</v>
      </c>
    </row>
    <row r="23" spans="1:14" ht="14.25" customHeight="1">
      <c r="A23" s="12" t="s">
        <v>3625</v>
      </c>
      <c r="B23" s="12">
        <f t="shared" si="4"/>
        <v>-2</v>
      </c>
      <c r="D23" s="10">
        <f t="shared" si="3"/>
        <v>-2</v>
      </c>
      <c r="E23" s="10">
        <f t="shared" si="5"/>
        <v>0</v>
      </c>
      <c r="G23" s="10">
        <v>1</v>
      </c>
    </row>
    <row r="24" spans="1:14" ht="14.25" customHeight="1">
      <c r="A24" s="12" t="s">
        <v>3626</v>
      </c>
      <c r="B24" s="12">
        <f t="shared" si="4"/>
        <v>-2</v>
      </c>
      <c r="D24" s="10">
        <f t="shared" si="3"/>
        <v>-2</v>
      </c>
      <c r="E24" s="10">
        <f t="shared" si="5"/>
        <v>0</v>
      </c>
      <c r="G24" s="10">
        <v>1</v>
      </c>
    </row>
    <row r="25" spans="1:14" ht="14.25" customHeight="1">
      <c r="A25" s="12" t="s">
        <v>2758</v>
      </c>
      <c r="B25" s="12">
        <f t="shared" si="4"/>
        <v>-2</v>
      </c>
      <c r="D25" s="10">
        <f t="shared" si="3"/>
        <v>-2</v>
      </c>
      <c r="E25" s="10">
        <f t="shared" si="5"/>
        <v>0</v>
      </c>
      <c r="N25" s="10">
        <v>1</v>
      </c>
    </row>
    <row r="26" spans="1:14" ht="14.25" customHeight="1">
      <c r="A26" s="12" t="s">
        <v>3880</v>
      </c>
      <c r="B26" s="12">
        <f t="shared" ref="B26" si="9">D26</f>
        <v>-2</v>
      </c>
      <c r="D26" s="10">
        <f t="shared" ref="D26" si="10">IF(F26&lt;&gt;"",IF(F26=1,IF(F26+E26=2,1,-2),F26),IF(E26=0,-2,E26))</f>
        <v>-2</v>
      </c>
      <c r="E26" s="10">
        <f t="shared" si="5"/>
        <v>0</v>
      </c>
      <c r="G26" s="10">
        <v>1</v>
      </c>
    </row>
    <row r="27" spans="1:14" ht="14.25" customHeight="1">
      <c r="A27" s="12" t="s">
        <v>2769</v>
      </c>
      <c r="B27" s="12">
        <f t="shared" si="4"/>
        <v>-2</v>
      </c>
      <c r="D27" s="10">
        <f t="shared" si="3"/>
        <v>-2</v>
      </c>
      <c r="E27" s="10">
        <f t="shared" si="5"/>
        <v>0</v>
      </c>
      <c r="G27" s="10">
        <v>1</v>
      </c>
    </row>
    <row r="28" spans="1:14" ht="14.25" customHeight="1">
      <c r="A28" s="12" t="s">
        <v>109</v>
      </c>
      <c r="B28" s="12">
        <f t="shared" si="4"/>
        <v>-2</v>
      </c>
      <c r="D28" s="10">
        <f t="shared" si="3"/>
        <v>-2</v>
      </c>
      <c r="E28" s="10">
        <f t="shared" si="5"/>
        <v>0</v>
      </c>
      <c r="L28" s="10">
        <v>1</v>
      </c>
    </row>
    <row r="29" spans="1:14" ht="14.25" customHeight="1">
      <c r="A29" s="12" t="s">
        <v>3726</v>
      </c>
      <c r="B29" s="12">
        <f t="shared" ref="B29" si="11">D29</f>
        <v>-2</v>
      </c>
      <c r="D29" s="10">
        <f t="shared" ref="D29" si="12">IF(F29&lt;&gt;"",IF(F29=1,IF(F29+E29=2,1,-2),F29),IF(E29=0,-2,E29))</f>
        <v>-2</v>
      </c>
      <c r="E29" s="10">
        <f t="shared" si="5"/>
        <v>0</v>
      </c>
      <c r="G29" s="10">
        <v>1</v>
      </c>
    </row>
    <row r="30" spans="1:14" ht="14.25" customHeight="1">
      <c r="A30" s="12" t="s">
        <v>3627</v>
      </c>
      <c r="B30" s="12">
        <f t="shared" si="4"/>
        <v>-2</v>
      </c>
      <c r="D30" s="10">
        <f t="shared" si="3"/>
        <v>-2</v>
      </c>
      <c r="E30" s="10">
        <f t="shared" si="5"/>
        <v>0</v>
      </c>
      <c r="G30" s="10">
        <v>1</v>
      </c>
    </row>
    <row r="31" spans="1:14" ht="14.25" customHeight="1">
      <c r="A31" s="12" t="s">
        <v>2786</v>
      </c>
      <c r="B31" s="12">
        <f>D31</f>
        <v>-2</v>
      </c>
      <c r="D31" s="10">
        <f t="shared" si="3"/>
        <v>-2</v>
      </c>
      <c r="E31" s="10">
        <f t="shared" si="5"/>
        <v>0</v>
      </c>
      <c r="G31" s="10">
        <v>1</v>
      </c>
    </row>
    <row r="32" spans="1:14" ht="14.25" customHeight="1">
      <c r="A32" s="12" t="s">
        <v>2790</v>
      </c>
      <c r="B32" s="12">
        <f t="shared" si="4"/>
        <v>-2</v>
      </c>
      <c r="D32" s="10">
        <f t="shared" si="3"/>
        <v>-2</v>
      </c>
      <c r="E32" s="10">
        <f t="shared" si="5"/>
        <v>0</v>
      </c>
      <c r="G32" s="10">
        <v>1</v>
      </c>
    </row>
    <row r="33" spans="1:13" ht="14.25" customHeight="1">
      <c r="A33" s="12" t="s">
        <v>2794</v>
      </c>
      <c r="B33" s="12">
        <f t="shared" si="4"/>
        <v>-2</v>
      </c>
      <c r="D33" s="10">
        <f t="shared" si="3"/>
        <v>-2</v>
      </c>
      <c r="E33" s="10">
        <f t="shared" si="5"/>
        <v>0</v>
      </c>
      <c r="G33" s="10">
        <v>1</v>
      </c>
    </row>
    <row r="34" spans="1:13" ht="14.25" customHeight="1">
      <c r="A34" s="12" t="s">
        <v>3628</v>
      </c>
      <c r="B34" s="12">
        <f t="shared" si="4"/>
        <v>-2</v>
      </c>
      <c r="D34" s="10">
        <f t="shared" si="3"/>
        <v>-2</v>
      </c>
      <c r="E34" s="10">
        <f t="shared" si="5"/>
        <v>0</v>
      </c>
      <c r="G34" s="10">
        <v>1</v>
      </c>
    </row>
    <row r="35" spans="1:13" ht="14.25" customHeight="1">
      <c r="A35" s="12" t="s">
        <v>3629</v>
      </c>
      <c r="B35" s="12">
        <f t="shared" ref="B35" si="13">D35</f>
        <v>1</v>
      </c>
      <c r="D35" s="10">
        <f t="shared" ref="D35" si="14">IF(F35&lt;&gt;"",IF(F35=1,IF(F35+E35=2,1,-2),F35),IF(E35=0,-2,E35))</f>
        <v>1</v>
      </c>
      <c r="E35" s="10">
        <f t="shared" si="5"/>
        <v>1</v>
      </c>
      <c r="M35" s="10">
        <v>1</v>
      </c>
    </row>
    <row r="36" spans="1:13" ht="14.25" customHeight="1">
      <c r="A36" s="12" t="s">
        <v>3730</v>
      </c>
      <c r="B36" s="12">
        <f t="shared" si="4"/>
        <v>-2</v>
      </c>
      <c r="D36" s="10">
        <f t="shared" si="3"/>
        <v>-2</v>
      </c>
      <c r="E36" s="10">
        <f t="shared" si="5"/>
        <v>0</v>
      </c>
      <c r="G36" s="10">
        <v>1</v>
      </c>
    </row>
    <row r="37" spans="1:13" ht="14.25" customHeight="1">
      <c r="A37" s="12" t="s">
        <v>2814</v>
      </c>
      <c r="B37" s="12">
        <f t="shared" si="4"/>
        <v>-2</v>
      </c>
      <c r="D37" s="10">
        <f t="shared" si="3"/>
        <v>-2</v>
      </c>
      <c r="E37" s="10">
        <f t="shared" si="5"/>
        <v>0</v>
      </c>
      <c r="G37" s="10">
        <v>1</v>
      </c>
    </row>
    <row r="38" spans="1:13" ht="14.25" customHeight="1">
      <c r="A38" s="12" t="s">
        <v>3630</v>
      </c>
      <c r="B38" s="12">
        <f t="shared" si="4"/>
        <v>-2</v>
      </c>
      <c r="D38" s="10">
        <f t="shared" si="3"/>
        <v>-2</v>
      </c>
      <c r="E38" s="10">
        <f t="shared" si="5"/>
        <v>0</v>
      </c>
      <c r="G38" s="10">
        <v>1</v>
      </c>
    </row>
    <row r="39" spans="1:13" ht="14.25" customHeight="1">
      <c r="A39" s="12" t="s">
        <v>2818</v>
      </c>
      <c r="B39" s="12">
        <f t="shared" si="4"/>
        <v>-2</v>
      </c>
      <c r="D39" s="10">
        <f t="shared" si="3"/>
        <v>-2</v>
      </c>
      <c r="E39" s="10">
        <f t="shared" si="5"/>
        <v>0</v>
      </c>
      <c r="H39" s="10">
        <v>1</v>
      </c>
    </row>
    <row r="40" spans="1:13" ht="14.25" customHeight="1">
      <c r="A40" s="12" t="s">
        <v>3729</v>
      </c>
      <c r="B40" s="12">
        <f t="shared" ref="B40" si="15">D40</f>
        <v>-2</v>
      </c>
      <c r="D40" s="10">
        <f t="shared" ref="D40" si="16">IF(F40&lt;&gt;"",IF(F40=1,IF(F40+E40=2,1,-2),F40),IF(E40=0,-2,E40))</f>
        <v>-2</v>
      </c>
      <c r="E40" s="10">
        <f t="shared" si="5"/>
        <v>0</v>
      </c>
      <c r="G40" s="10">
        <v>1</v>
      </c>
    </row>
    <row r="41" spans="1:13" ht="14.25" customHeight="1">
      <c r="A41" s="12" t="s">
        <v>2820</v>
      </c>
      <c r="B41" s="12">
        <f t="shared" si="4"/>
        <v>-2</v>
      </c>
      <c r="D41" s="10">
        <f t="shared" si="3"/>
        <v>-2</v>
      </c>
      <c r="E41" s="10">
        <f t="shared" si="5"/>
        <v>0</v>
      </c>
      <c r="I41" s="10">
        <v>1</v>
      </c>
    </row>
    <row r="42" spans="1:13" ht="14.25" customHeight="1">
      <c r="A42" s="12" t="s">
        <v>3719</v>
      </c>
      <c r="B42" s="12">
        <f t="shared" si="4"/>
        <v>-2</v>
      </c>
      <c r="D42" s="10">
        <f t="shared" ref="D42" si="17">IF(F42&lt;&gt;"",IF(F42=1,IF(F42+E42=2,1,-2),F42),IF(E42=0,-2,E42))</f>
        <v>-2</v>
      </c>
      <c r="E42" s="10">
        <f t="shared" si="5"/>
        <v>0</v>
      </c>
      <c r="G42" s="10">
        <v>1</v>
      </c>
    </row>
    <row r="43" spans="1:13" ht="14.25" customHeight="1">
      <c r="A43" s="12" t="s">
        <v>2823</v>
      </c>
      <c r="B43" s="12">
        <f t="shared" si="4"/>
        <v>-2</v>
      </c>
      <c r="D43" s="10">
        <f t="shared" si="3"/>
        <v>-2</v>
      </c>
      <c r="E43" s="10">
        <f t="shared" si="5"/>
        <v>0</v>
      </c>
      <c r="J43" s="10">
        <v>1</v>
      </c>
    </row>
    <row r="44" spans="1:13" ht="14.25" customHeight="1">
      <c r="A44" s="12" t="s">
        <v>3720</v>
      </c>
      <c r="B44" s="12">
        <f t="shared" ref="B44" si="18">D44</f>
        <v>-2</v>
      </c>
      <c r="D44" s="10">
        <f t="shared" ref="D44" si="19">IF(F44&lt;&gt;"",IF(F44=1,IF(F44+E44=2,1,-2),F44),IF(E44=0,-2,E44))</f>
        <v>-2</v>
      </c>
      <c r="E44" s="10">
        <f t="shared" si="5"/>
        <v>0</v>
      </c>
      <c r="G44" s="10">
        <v>1</v>
      </c>
    </row>
    <row r="45" spans="1:13" ht="14.25" customHeight="1">
      <c r="A45" s="12" t="s">
        <v>2825</v>
      </c>
      <c r="B45" s="12">
        <f t="shared" si="4"/>
        <v>-2</v>
      </c>
      <c r="D45" s="10">
        <f t="shared" si="3"/>
        <v>-2</v>
      </c>
      <c r="E45" s="10">
        <f t="shared" si="5"/>
        <v>0</v>
      </c>
      <c r="K45" s="10">
        <v>1</v>
      </c>
    </row>
    <row r="46" spans="1:13" ht="14.25" customHeight="1">
      <c r="A46" s="12" t="s">
        <v>3721</v>
      </c>
      <c r="B46" s="12">
        <f t="shared" ref="B46" si="20">D46</f>
        <v>-2</v>
      </c>
      <c r="D46" s="10">
        <f t="shared" ref="D46" si="21">IF(F46&lt;&gt;"",IF(F46=1,IF(F46+E46=2,1,-2),F46),IF(E46=0,-2,E46))</f>
        <v>-2</v>
      </c>
      <c r="E46" s="10">
        <f t="shared" si="5"/>
        <v>0</v>
      </c>
      <c r="G46" s="10">
        <v>1</v>
      </c>
    </row>
    <row r="47" spans="1:13" ht="14.25" customHeight="1">
      <c r="A47" s="12" t="s">
        <v>2827</v>
      </c>
      <c r="B47" s="12">
        <f t="shared" si="4"/>
        <v>-2</v>
      </c>
      <c r="D47" s="10">
        <f t="shared" si="3"/>
        <v>-2</v>
      </c>
      <c r="E47" s="10">
        <f t="shared" si="5"/>
        <v>0</v>
      </c>
      <c r="G47" s="10">
        <v>1</v>
      </c>
    </row>
    <row r="48" spans="1:13" ht="14.25" customHeight="1">
      <c r="A48" s="12" t="s">
        <v>3631</v>
      </c>
      <c r="B48" s="12">
        <f t="shared" si="4"/>
        <v>-2</v>
      </c>
      <c r="D48" s="10">
        <f t="shared" si="3"/>
        <v>-2</v>
      </c>
      <c r="E48" s="10">
        <f t="shared" si="5"/>
        <v>0</v>
      </c>
      <c r="G48" s="10">
        <v>1</v>
      </c>
    </row>
    <row r="50" spans="1:2" ht="14.25" customHeight="1">
      <c r="A50" s="63" t="s">
        <v>399</v>
      </c>
      <c r="B50" s="12">
        <f t="shared" si="4"/>
        <v>0</v>
      </c>
    </row>
    <row r="52" spans="1:2" ht="14.25" customHeight="1">
      <c r="A52" s="13" t="s">
        <v>393</v>
      </c>
    </row>
    <row r="53" spans="1:2" ht="14.25" customHeight="1">
      <c r="A53" s="13" t="s">
        <v>400</v>
      </c>
    </row>
  </sheetData>
  <mergeCells count="1">
    <mergeCell ref="D1:E1"/>
  </mergeCells>
  <phoneticPr fontId="139"/>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6365-3DDF-4EC5-9199-BA0B861824D3}">
  <sheetPr>
    <pageSetUpPr fitToPage="1"/>
  </sheetPr>
  <dimension ref="A1:BW95"/>
  <sheetViews>
    <sheetView tabSelected="1" zoomScale="85" zoomScaleNormal="85" workbookViewId="0">
      <selection activeCell="B9" sqref="B9:I9"/>
    </sheetView>
  </sheetViews>
  <sheetFormatPr defaultColWidth="3.125" defaultRowHeight="15" customHeight="1"/>
  <cols>
    <col min="4" max="4" width="3" customWidth="1"/>
    <col min="54" max="54" width="3.125" style="1123"/>
  </cols>
  <sheetData>
    <row r="1" spans="1:75" ht="15" customHeight="1">
      <c r="A1" s="1283" t="s">
        <v>3991</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4">
        <v>20250401</v>
      </c>
      <c r="AK1" s="1284"/>
      <c r="AL1" s="1284"/>
      <c r="AM1" s="1284"/>
      <c r="AN1" s="1284"/>
      <c r="AO1" s="1284"/>
      <c r="AP1" s="1284"/>
      <c r="AQ1" s="1284"/>
      <c r="AR1" s="1284"/>
      <c r="AS1" s="1284"/>
      <c r="AT1" s="1284"/>
      <c r="AU1" s="1284"/>
      <c r="AV1" s="1284"/>
      <c r="AW1" s="1284"/>
      <c r="AX1" s="1284"/>
      <c r="AY1" s="1284"/>
      <c r="AZ1" s="1284"/>
      <c r="BA1" s="1284"/>
    </row>
    <row r="2" spans="1:75" ht="15" customHeight="1">
      <c r="A2" s="1193"/>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t="s">
        <v>4029</v>
      </c>
      <c r="Z2" s="1193"/>
      <c r="AA2" s="1193"/>
      <c r="AB2" s="1193"/>
      <c r="AC2" s="1193"/>
      <c r="AD2" s="1193"/>
      <c r="AE2" s="1193"/>
      <c r="AF2" s="1193"/>
      <c r="AG2" s="1193"/>
      <c r="AH2" s="1193"/>
      <c r="AI2" s="1193"/>
      <c r="AJ2" s="1123"/>
      <c r="AK2" s="1123"/>
      <c r="AL2" s="1123"/>
      <c r="AM2" s="1123"/>
      <c r="AN2" s="1123"/>
      <c r="AO2" s="1123"/>
      <c r="AP2" s="1123"/>
      <c r="AQ2" s="1123"/>
      <c r="AR2" s="1123"/>
      <c r="AS2" s="1123"/>
      <c r="AT2" s="1123"/>
      <c r="AU2" s="1123"/>
      <c r="AV2" s="1123"/>
      <c r="AW2" s="1123"/>
      <c r="AX2" s="1123"/>
      <c r="AY2" s="1123"/>
      <c r="AZ2" s="1123"/>
      <c r="BA2" s="1123"/>
    </row>
    <row r="3" spans="1:75" ht="15" customHeight="1">
      <c r="A3" s="1253" t="s">
        <v>3976</v>
      </c>
      <c r="B3" s="1254"/>
      <c r="C3" s="1255"/>
      <c r="D3" s="1259" t="s">
        <v>4026</v>
      </c>
      <c r="E3" s="1259"/>
      <c r="F3" s="1259"/>
      <c r="G3" s="1259"/>
      <c r="H3" s="1259"/>
      <c r="I3" s="1122" t="s">
        <v>4027</v>
      </c>
      <c r="Y3" s="1253" t="s">
        <v>3975</v>
      </c>
      <c r="Z3" s="1254"/>
      <c r="AA3" s="1255"/>
      <c r="AB3" s="1122" t="s">
        <v>3974</v>
      </c>
      <c r="BB3"/>
      <c r="BW3" s="1123"/>
    </row>
    <row r="4" spans="1:75" ht="15" customHeight="1">
      <c r="A4" s="1256"/>
      <c r="B4" s="1257"/>
      <c r="C4" s="1258"/>
      <c r="D4" s="1259"/>
      <c r="E4" s="1259"/>
      <c r="F4" s="1259"/>
      <c r="G4" s="1259"/>
      <c r="H4" s="1259"/>
      <c r="I4" s="1122" t="s">
        <v>4034</v>
      </c>
      <c r="T4" s="1239" t="s">
        <v>4035</v>
      </c>
      <c r="U4" s="1234"/>
      <c r="V4" s="1234"/>
      <c r="W4" s="1234"/>
      <c r="X4" s="1240"/>
      <c r="Y4" s="1256"/>
      <c r="Z4" s="1257"/>
      <c r="AA4" s="1258"/>
      <c r="AB4" s="1237" t="s">
        <v>4001</v>
      </c>
      <c r="AC4" s="1238"/>
      <c r="AD4" s="1238"/>
      <c r="AE4" s="1238"/>
      <c r="AF4" s="1238"/>
      <c r="AG4" s="1238"/>
      <c r="AH4" s="1238"/>
      <c r="AI4" s="1238"/>
      <c r="AJ4" s="1238"/>
      <c r="AK4" s="1238"/>
      <c r="AL4" s="1238"/>
      <c r="AM4" s="1238"/>
      <c r="AN4" s="1238"/>
      <c r="AO4" s="1238"/>
      <c r="AP4" s="1238"/>
      <c r="AQ4" s="1238"/>
      <c r="AR4" s="1238"/>
      <c r="AS4" s="1238"/>
      <c r="AT4" s="1238"/>
      <c r="AU4" s="1238"/>
      <c r="AV4" s="1238"/>
      <c r="AW4" s="1238"/>
      <c r="AX4" s="1238"/>
      <c r="AY4" s="1238"/>
      <c r="AZ4" s="1238"/>
      <c r="BA4" s="1238"/>
      <c r="BB4"/>
      <c r="BW4" s="1123"/>
    </row>
    <row r="5" spans="1:75" ht="3" customHeight="1" thickBot="1">
      <c r="A5" s="1122"/>
      <c r="B5" s="1122"/>
      <c r="C5" s="1122"/>
      <c r="Y5" s="1122"/>
      <c r="Z5" s="1122"/>
      <c r="AA5" s="1122"/>
      <c r="AB5" s="1129"/>
      <c r="AC5" s="1129"/>
      <c r="AD5" s="1129"/>
      <c r="AE5" s="1129"/>
      <c r="AF5" s="1129"/>
      <c r="AG5" s="1129"/>
      <c r="AH5" s="1129"/>
      <c r="AI5" s="1129"/>
      <c r="AJ5" s="1129"/>
      <c r="AK5" s="1129"/>
      <c r="AL5" s="1129"/>
      <c r="AM5" s="1129"/>
      <c r="AN5" s="1129"/>
      <c r="AO5" s="1129"/>
      <c r="AP5" s="1129"/>
      <c r="AQ5" s="1129"/>
      <c r="AR5" s="1129"/>
      <c r="AS5" s="1129"/>
      <c r="BB5"/>
      <c r="BW5" s="1123"/>
    </row>
    <row r="6" spans="1:75" ht="50.1" customHeight="1" thickBot="1">
      <c r="A6" s="1243" t="s">
        <v>3990</v>
      </c>
      <c r="B6" s="1244"/>
      <c r="C6" s="1244"/>
      <c r="D6" s="1244"/>
      <c r="E6" s="1244"/>
      <c r="F6" s="1244"/>
      <c r="G6" s="1244"/>
      <c r="H6" s="1244"/>
      <c r="I6" s="1244"/>
      <c r="J6" s="1244"/>
      <c r="K6" s="1244"/>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44"/>
      <c r="AK6" s="1244"/>
      <c r="AL6" s="1244"/>
      <c r="AM6" s="1244"/>
      <c r="AN6" s="1244"/>
      <c r="AO6" s="1244"/>
      <c r="AP6" s="1244"/>
      <c r="AQ6" s="1244"/>
      <c r="AR6" s="1244"/>
      <c r="AS6" s="1244"/>
      <c r="AT6" s="1244"/>
      <c r="AU6" s="1244"/>
      <c r="AV6" s="1244"/>
      <c r="AW6" s="1244"/>
      <c r="AX6" s="1244"/>
      <c r="AY6" s="1244"/>
      <c r="AZ6" s="1244"/>
      <c r="BA6" s="1245"/>
      <c r="BB6"/>
    </row>
    <row r="7" spans="1:75" ht="3" customHeight="1">
      <c r="A7" s="1195"/>
      <c r="B7" s="1195"/>
      <c r="C7" s="1195"/>
      <c r="D7" s="1195"/>
      <c r="E7" s="1195"/>
      <c r="F7" s="1195"/>
      <c r="G7" s="1195"/>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1195"/>
      <c r="AG7" s="1195"/>
      <c r="AH7" s="1195"/>
      <c r="AI7" s="1195"/>
      <c r="AJ7" s="1195"/>
      <c r="AK7" s="1195"/>
      <c r="AL7" s="1195"/>
      <c r="AM7" s="1195"/>
      <c r="AN7" s="1195"/>
      <c r="AO7" s="1195"/>
      <c r="AP7" s="1195"/>
      <c r="AQ7" s="1195"/>
      <c r="AR7" s="1195"/>
      <c r="AS7" s="1195"/>
      <c r="AT7" s="1195"/>
      <c r="AU7" s="1195"/>
      <c r="AV7" s="1195"/>
      <c r="AW7" s="1195"/>
      <c r="AX7" s="1195"/>
      <c r="AY7" s="1195"/>
      <c r="AZ7" s="1195"/>
      <c r="BA7" s="1195"/>
      <c r="BB7"/>
    </row>
    <row r="8" spans="1:75" ht="15" customHeight="1" thickBot="1">
      <c r="A8" s="1127" t="s">
        <v>4040</v>
      </c>
      <c r="K8" s="1127" t="s">
        <v>4085</v>
      </c>
      <c r="U8" s="1129"/>
      <c r="V8" s="1129"/>
      <c r="W8" s="1129"/>
      <c r="X8" s="1129"/>
      <c r="Y8" s="1129"/>
      <c r="Z8" s="1129"/>
      <c r="AA8" s="1129"/>
      <c r="AB8" s="1129"/>
      <c r="AC8" s="1129"/>
      <c r="AD8" s="1129"/>
      <c r="AE8" s="1129"/>
      <c r="AF8" s="1129"/>
      <c r="AG8" s="1129"/>
      <c r="AH8" s="1129"/>
      <c r="AI8" s="1129"/>
      <c r="AJ8" s="1129"/>
      <c r="AK8" s="1129"/>
      <c r="AL8" s="1129"/>
      <c r="AM8" s="1129"/>
      <c r="AN8" s="1129"/>
      <c r="AO8" s="1129"/>
      <c r="AP8" s="1220" t="s">
        <v>4089</v>
      </c>
      <c r="AR8" s="1209"/>
      <c r="AS8" s="1208"/>
      <c r="AT8" s="1208"/>
      <c r="AU8" s="1208"/>
      <c r="AV8" s="1208"/>
      <c r="AW8" s="1208"/>
      <c r="AX8" s="1208"/>
      <c r="AY8" s="1208"/>
      <c r="AZ8" s="1208"/>
      <c r="BA8" s="1208"/>
      <c r="BB8"/>
    </row>
    <row r="9" spans="1:75" ht="39.950000000000003" customHeight="1" thickTop="1" thickBot="1">
      <c r="B9" s="1250"/>
      <c r="C9" s="1251"/>
      <c r="D9" s="1251"/>
      <c r="E9" s="1251"/>
      <c r="F9" s="1251"/>
      <c r="G9" s="1251"/>
      <c r="H9" s="1251"/>
      <c r="I9" s="1252"/>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07"/>
      <c r="AQ9" s="1246" t="e">
        <f>WORKDAY(B9,-7,'syukujitsu2001-2050'!$A$2:$A$1043)</f>
        <v>#NUM!</v>
      </c>
      <c r="AR9" s="1247"/>
      <c r="AS9" s="1247"/>
      <c r="AT9" s="1247"/>
      <c r="AU9" s="1247"/>
      <c r="AV9" s="1248" t="s">
        <v>4087</v>
      </c>
      <c r="AW9" s="1248"/>
      <c r="AX9" s="1248"/>
      <c r="AY9" s="1248"/>
      <c r="AZ9" s="1248"/>
      <c r="BA9" s="1249"/>
      <c r="BB9"/>
    </row>
    <row r="10" spans="1:75" ht="15" customHeight="1" thickTop="1">
      <c r="A10" s="1127" t="s">
        <v>4048</v>
      </c>
      <c r="L10" s="1210"/>
      <c r="M10" s="1210"/>
      <c r="N10" s="1210"/>
      <c r="O10" s="1210"/>
      <c r="P10" s="1210"/>
      <c r="Q10" s="1210"/>
      <c r="R10" s="1210"/>
      <c r="S10" s="1210"/>
      <c r="T10" s="1210"/>
      <c r="U10" s="1210"/>
      <c r="W10" s="1127" t="s">
        <v>4049</v>
      </c>
      <c r="AG10" s="1129"/>
      <c r="AH10" s="1129"/>
      <c r="AI10" s="1129"/>
      <c r="AJ10" s="1129"/>
      <c r="AK10" s="1129"/>
      <c r="AL10" s="1129"/>
      <c r="AM10" s="1129"/>
      <c r="AN10" s="1129"/>
      <c r="AO10" s="1129"/>
      <c r="AP10" s="1129"/>
      <c r="AQ10" s="1221" t="s">
        <v>4088</v>
      </c>
      <c r="AR10" s="1129"/>
      <c r="AS10" s="1129"/>
      <c r="AT10" s="1129"/>
      <c r="AU10" s="1129"/>
      <c r="AV10" s="1129"/>
      <c r="AW10" s="1129"/>
      <c r="AX10" s="1129"/>
      <c r="AY10" s="1129"/>
      <c r="AZ10" s="1129"/>
      <c r="BA10" s="1129"/>
      <c r="BB10"/>
    </row>
    <row r="11" spans="1:75" ht="39.950000000000003" customHeight="1">
      <c r="B11" s="1231"/>
      <c r="C11" s="1231"/>
      <c r="D11" s="1231"/>
      <c r="E11" s="1231"/>
      <c r="F11" s="1231"/>
      <c r="G11" s="1231"/>
      <c r="H11" s="1231"/>
      <c r="I11" s="1231"/>
      <c r="J11" s="1231"/>
      <c r="K11" s="1231"/>
      <c r="L11" s="1231"/>
      <c r="M11" s="1231"/>
      <c r="N11" s="1231"/>
      <c r="O11" s="1231"/>
      <c r="P11" s="1231"/>
      <c r="Q11" s="1231"/>
      <c r="R11" s="1231"/>
      <c r="S11" s="1231"/>
      <c r="T11" s="1231"/>
      <c r="U11" s="1231"/>
      <c r="X11" s="1231"/>
      <c r="Y11" s="1231"/>
      <c r="Z11" s="1231"/>
      <c r="AA11" s="1231"/>
      <c r="AB11" s="1231"/>
      <c r="AC11" s="1231"/>
      <c r="AD11" s="1231"/>
      <c r="AE11" s="1231"/>
      <c r="AF11" s="1231"/>
      <c r="AG11" s="1231"/>
      <c r="AH11" s="1231"/>
      <c r="AI11" s="1231"/>
      <c r="AJ11" s="1231"/>
      <c r="AK11" s="1231"/>
      <c r="AL11" s="1231"/>
      <c r="AM11" s="1231"/>
      <c r="AN11" s="1231"/>
      <c r="AO11" s="1231"/>
      <c r="AP11" s="1231"/>
      <c r="AQ11" s="1231"/>
      <c r="AR11" s="1231"/>
      <c r="AS11" s="1231"/>
      <c r="AT11" s="1231"/>
      <c r="AU11" s="1231"/>
      <c r="AV11" s="1231"/>
      <c r="AW11" s="1231"/>
      <c r="AX11" s="1231"/>
      <c r="AY11" s="1231"/>
      <c r="AZ11" s="1231"/>
      <c r="BA11" s="1231"/>
      <c r="BB11"/>
    </row>
    <row r="12" spans="1:75" ht="3" customHeight="1">
      <c r="B12" s="1130"/>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row>
    <row r="13" spans="1:75" ht="15" customHeight="1">
      <c r="A13" s="1127" t="s">
        <v>4050</v>
      </c>
      <c r="G13" s="1122"/>
      <c r="H13" s="1122"/>
      <c r="I13" s="1122"/>
      <c r="J13" s="1122"/>
      <c r="K13" s="1232" t="s">
        <v>3948</v>
      </c>
      <c r="L13" s="1232"/>
      <c r="M13" s="1232"/>
      <c r="N13" s="1232"/>
      <c r="O13" s="1232"/>
      <c r="P13" s="1232"/>
      <c r="Q13" s="1232"/>
      <c r="R13" s="1232"/>
      <c r="S13" s="1232"/>
      <c r="T13" s="1232"/>
      <c r="U13" s="1232"/>
      <c r="V13" s="1232" t="s">
        <v>3949</v>
      </c>
      <c r="W13" s="1232"/>
      <c r="X13" s="1232"/>
      <c r="Y13" s="1232"/>
      <c r="Z13" s="1232"/>
      <c r="AA13" s="1232"/>
      <c r="AB13" s="1232" t="s">
        <v>3950</v>
      </c>
      <c r="AC13" s="1232"/>
      <c r="AD13" s="1232"/>
      <c r="AE13" s="1232"/>
      <c r="AF13" s="1232"/>
      <c r="AG13" s="1232"/>
      <c r="AH13" s="1232"/>
      <c r="AI13" s="1232"/>
      <c r="AJ13" s="1232"/>
      <c r="AK13" s="1232"/>
      <c r="AL13" s="1232"/>
      <c r="AM13" s="1232"/>
      <c r="AN13" s="1232" t="s">
        <v>3973</v>
      </c>
      <c r="AO13" s="1232"/>
      <c r="AP13" s="1232"/>
      <c r="AQ13" s="1232"/>
      <c r="AR13" s="1232"/>
      <c r="AS13" s="1232"/>
      <c r="AT13" s="1232"/>
      <c r="AU13" s="1232" t="s">
        <v>3972</v>
      </c>
      <c r="AV13" s="1232"/>
      <c r="AW13" s="1232"/>
      <c r="AX13" s="1232"/>
      <c r="AY13" s="1232"/>
      <c r="AZ13" s="1232"/>
      <c r="BA13" s="1232"/>
    </row>
    <row r="14" spans="1:75" ht="15" customHeight="1">
      <c r="A14" s="1233" t="s">
        <v>3986</v>
      </c>
      <c r="B14" s="1234"/>
      <c r="C14" s="1234"/>
      <c r="D14" s="1125"/>
      <c r="E14" s="1122" t="s">
        <v>3988</v>
      </c>
      <c r="H14" s="1122"/>
      <c r="I14" s="1122"/>
      <c r="J14" s="1122"/>
      <c r="K14" s="1236"/>
      <c r="L14" s="1236"/>
      <c r="M14" s="1236"/>
      <c r="N14" s="1236"/>
      <c r="O14" s="1236"/>
      <c r="P14" s="1236"/>
      <c r="Q14" s="1236"/>
      <c r="R14" s="1236"/>
      <c r="S14" s="1236"/>
      <c r="T14" s="1236"/>
      <c r="U14" s="1236"/>
      <c r="V14" s="1236"/>
      <c r="W14" s="1236"/>
      <c r="X14" s="1236"/>
      <c r="Y14" s="1236"/>
      <c r="Z14" s="1236"/>
      <c r="AA14" s="1236"/>
      <c r="AB14" s="1242"/>
      <c r="AC14" s="1236"/>
      <c r="AD14" s="1236"/>
      <c r="AE14" s="1236"/>
      <c r="AF14" s="1236"/>
      <c r="AG14" s="1236"/>
      <c r="AH14" s="1236"/>
      <c r="AI14" s="1236"/>
      <c r="AJ14" s="1236"/>
      <c r="AK14" s="1236"/>
      <c r="AL14" s="1236"/>
      <c r="AM14" s="1236"/>
      <c r="AN14" s="1241"/>
      <c r="AO14" s="1241"/>
      <c r="AP14" s="1241"/>
      <c r="AQ14" s="1241"/>
      <c r="AR14" s="1241"/>
      <c r="AS14" s="1241"/>
      <c r="AT14" s="1241"/>
      <c r="AU14" s="1241"/>
      <c r="AV14" s="1241"/>
      <c r="AW14" s="1241"/>
      <c r="AX14" s="1241"/>
      <c r="AY14" s="1241"/>
      <c r="AZ14" s="1241"/>
      <c r="BA14" s="1241"/>
    </row>
    <row r="15" spans="1:75" ht="15" customHeight="1">
      <c r="A15" s="1234"/>
      <c r="B15" s="1234"/>
      <c r="C15" s="1234"/>
      <c r="D15" s="1125"/>
      <c r="E15" s="1122" t="s">
        <v>3987</v>
      </c>
      <c r="H15" s="1122"/>
      <c r="I15" s="1122"/>
      <c r="J15" s="1122"/>
      <c r="K15" s="1236"/>
      <c r="L15" s="1236"/>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41"/>
      <c r="AO15" s="1241"/>
      <c r="AP15" s="1241"/>
      <c r="AQ15" s="1241"/>
      <c r="AR15" s="1241"/>
      <c r="AS15" s="1241"/>
      <c r="AT15" s="1241"/>
      <c r="AU15" s="1241"/>
      <c r="AV15" s="1241"/>
      <c r="AW15" s="1241"/>
      <c r="AX15" s="1241"/>
      <c r="AY15" s="1241"/>
      <c r="AZ15" s="1241"/>
      <c r="BA15" s="1241"/>
    </row>
    <row r="16" spans="1:75" ht="3" customHeight="1"/>
    <row r="17" spans="1:53" ht="15" customHeight="1">
      <c r="A17" s="1127" t="s">
        <v>4051</v>
      </c>
      <c r="G17" s="1122"/>
      <c r="H17" s="1122"/>
      <c r="I17" s="1122"/>
      <c r="J17" s="1122"/>
      <c r="K17" s="1232" t="s">
        <v>3948</v>
      </c>
      <c r="L17" s="1232"/>
      <c r="M17" s="1232"/>
      <c r="N17" s="1232"/>
      <c r="O17" s="1232"/>
      <c r="P17" s="1232"/>
      <c r="Q17" s="1232"/>
      <c r="R17" s="1232"/>
      <c r="S17" s="1232"/>
      <c r="T17" s="1232"/>
      <c r="U17" s="1232"/>
      <c r="V17" s="1232" t="s">
        <v>3949</v>
      </c>
      <c r="W17" s="1232"/>
      <c r="X17" s="1232"/>
      <c r="Y17" s="1232"/>
      <c r="Z17" s="1232"/>
      <c r="AA17" s="1232"/>
      <c r="AB17" s="1232" t="s">
        <v>3950</v>
      </c>
      <c r="AC17" s="1232"/>
      <c r="AD17" s="1232"/>
      <c r="AE17" s="1232"/>
      <c r="AF17" s="1232"/>
      <c r="AG17" s="1232"/>
      <c r="AH17" s="1232"/>
      <c r="AI17" s="1232"/>
      <c r="AJ17" s="1232"/>
      <c r="AK17" s="1232"/>
      <c r="AL17" s="1232"/>
      <c r="AM17" s="1232"/>
      <c r="AN17" s="1232" t="s">
        <v>3973</v>
      </c>
      <c r="AO17" s="1232"/>
      <c r="AP17" s="1232"/>
      <c r="AQ17" s="1232"/>
      <c r="AR17" s="1232"/>
      <c r="AS17" s="1232"/>
      <c r="AT17" s="1232"/>
      <c r="AU17" s="1232" t="s">
        <v>3972</v>
      </c>
      <c r="AV17" s="1232"/>
      <c r="AW17" s="1232"/>
      <c r="AX17" s="1232"/>
      <c r="AY17" s="1232"/>
      <c r="AZ17" s="1232"/>
      <c r="BA17" s="1232"/>
    </row>
    <row r="18" spans="1:53" ht="15" customHeight="1">
      <c r="A18" s="1233"/>
      <c r="B18" s="1234"/>
      <c r="C18" s="1234"/>
      <c r="D18" s="1125"/>
      <c r="E18" s="1122" t="s">
        <v>4028</v>
      </c>
      <c r="H18" s="1122"/>
      <c r="I18" s="1122"/>
      <c r="J18" s="1122"/>
      <c r="K18" s="1235"/>
      <c r="L18" s="1235"/>
      <c r="M18" s="1235"/>
      <c r="N18" s="1235"/>
      <c r="O18" s="1235"/>
      <c r="P18" s="1235"/>
      <c r="Q18" s="1235"/>
      <c r="R18" s="1235"/>
      <c r="S18" s="1235"/>
      <c r="T18" s="1235"/>
      <c r="U18" s="1235"/>
      <c r="V18" s="1236"/>
      <c r="W18" s="1236"/>
      <c r="X18" s="1236"/>
      <c r="Y18" s="1236"/>
      <c r="Z18" s="1236"/>
      <c r="AA18" s="1236"/>
      <c r="AB18" s="1242"/>
      <c r="AC18" s="1236"/>
      <c r="AD18" s="1236"/>
      <c r="AE18" s="1236"/>
      <c r="AF18" s="1236"/>
      <c r="AG18" s="1236"/>
      <c r="AH18" s="1236"/>
      <c r="AI18" s="1236"/>
      <c r="AJ18" s="1236"/>
      <c r="AK18" s="1236"/>
      <c r="AL18" s="1236"/>
      <c r="AM18" s="1236"/>
      <c r="AN18" s="1241"/>
      <c r="AO18" s="1241"/>
      <c r="AP18" s="1241"/>
      <c r="AQ18" s="1241"/>
      <c r="AR18" s="1241"/>
      <c r="AS18" s="1241"/>
      <c r="AT18" s="1241"/>
      <c r="AU18" s="1241"/>
      <c r="AV18" s="1241"/>
      <c r="AW18" s="1241"/>
      <c r="AX18" s="1241"/>
      <c r="AY18" s="1241"/>
      <c r="AZ18" s="1241"/>
      <c r="BA18" s="1241"/>
    </row>
    <row r="19" spans="1:53" ht="15" customHeight="1">
      <c r="A19" s="1234"/>
      <c r="B19" s="1234"/>
      <c r="C19" s="1234"/>
      <c r="D19" s="1122"/>
      <c r="E19" s="1122"/>
      <c r="H19" s="1122"/>
      <c r="I19" s="1122"/>
      <c r="J19" s="1122"/>
      <c r="K19" s="1235"/>
      <c r="L19" s="1235"/>
      <c r="M19" s="1235"/>
      <c r="N19" s="1235"/>
      <c r="O19" s="1235"/>
      <c r="P19" s="1235"/>
      <c r="Q19" s="1235"/>
      <c r="R19" s="1235"/>
      <c r="S19" s="1235"/>
      <c r="T19" s="1235"/>
      <c r="U19" s="1235"/>
      <c r="V19" s="1236"/>
      <c r="W19" s="1236"/>
      <c r="X19" s="1236"/>
      <c r="Y19" s="1236"/>
      <c r="Z19" s="1236"/>
      <c r="AA19" s="1236"/>
      <c r="AB19" s="1236"/>
      <c r="AC19" s="1236"/>
      <c r="AD19" s="1236"/>
      <c r="AE19" s="1236"/>
      <c r="AF19" s="1236"/>
      <c r="AG19" s="1236"/>
      <c r="AH19" s="1236"/>
      <c r="AI19" s="1236"/>
      <c r="AJ19" s="1236"/>
      <c r="AK19" s="1236"/>
      <c r="AL19" s="1236"/>
      <c r="AM19" s="1236"/>
      <c r="AN19" s="1241"/>
      <c r="AO19" s="1241"/>
      <c r="AP19" s="1241"/>
      <c r="AQ19" s="1241"/>
      <c r="AR19" s="1241"/>
      <c r="AS19" s="1241"/>
      <c r="AT19" s="1241"/>
      <c r="AU19" s="1241"/>
      <c r="AV19" s="1241"/>
      <c r="AW19" s="1241"/>
      <c r="AX19" s="1241"/>
      <c r="AY19" s="1241"/>
      <c r="AZ19" s="1241"/>
      <c r="BA19" s="1241"/>
    </row>
    <row r="21" spans="1:53" ht="15" customHeight="1" thickBot="1">
      <c r="A21" s="1127" t="s">
        <v>4052</v>
      </c>
      <c r="AJ21" s="1127" t="s">
        <v>4055</v>
      </c>
    </row>
    <row r="22" spans="1:53" ht="15" customHeight="1" thickTop="1">
      <c r="B22" s="1125"/>
      <c r="C22" s="1122" t="s">
        <v>4004</v>
      </c>
      <c r="I22" s="1125"/>
      <c r="J22" s="1122" t="s">
        <v>4002</v>
      </c>
      <c r="AJ22" s="1197" t="s">
        <v>4037</v>
      </c>
      <c r="AK22" s="1145"/>
      <c r="AL22" s="1145"/>
      <c r="AM22" s="1145"/>
      <c r="AN22" s="1145"/>
      <c r="AO22" s="1145"/>
      <c r="AP22" s="1145"/>
      <c r="AQ22" s="1145"/>
      <c r="AR22" s="1145"/>
      <c r="AS22" s="1145"/>
      <c r="AT22" s="1145"/>
      <c r="AU22" s="1145"/>
      <c r="AV22" s="1145"/>
      <c r="AW22" s="1145"/>
      <c r="AX22" s="1145"/>
      <c r="AY22" s="1145"/>
      <c r="AZ22" s="1145"/>
      <c r="BA22" s="1146"/>
    </row>
    <row r="23" spans="1:53" ht="15" customHeight="1">
      <c r="B23" s="1125"/>
      <c r="C23" s="1122" t="s">
        <v>3977</v>
      </c>
      <c r="I23" s="1125"/>
      <c r="J23" s="1122" t="s">
        <v>4003</v>
      </c>
      <c r="AJ23" s="1198" t="s">
        <v>4038</v>
      </c>
      <c r="BA23" s="1148"/>
    </row>
    <row r="24" spans="1:53" ht="15" customHeight="1">
      <c r="J24" s="1285" t="s">
        <v>4005</v>
      </c>
      <c r="K24" s="1286"/>
      <c r="L24" s="1182"/>
      <c r="M24" s="1183" t="s">
        <v>4014</v>
      </c>
      <c r="N24" s="1184"/>
      <c r="O24" s="1184"/>
      <c r="P24" s="1184"/>
      <c r="Q24" s="1184"/>
      <c r="R24" s="1184"/>
      <c r="S24" s="1184"/>
      <c r="T24" s="1184"/>
      <c r="U24" s="1184"/>
      <c r="V24" s="1184"/>
      <c r="W24" s="1184"/>
      <c r="X24" s="1184"/>
      <c r="Y24" s="1184"/>
      <c r="Z24" s="1184"/>
      <c r="AA24" s="1184"/>
      <c r="AB24" s="1185"/>
      <c r="AC24" s="1183" t="s">
        <v>4006</v>
      </c>
      <c r="AD24" s="1184"/>
      <c r="AE24" s="1184"/>
      <c r="AF24" s="1184"/>
      <c r="AG24" s="1184"/>
      <c r="AH24" s="1186"/>
      <c r="AJ24" s="1147"/>
      <c r="AK24" s="1125"/>
      <c r="AL24" s="1122" t="s">
        <v>3984</v>
      </c>
      <c r="BA24" s="1148"/>
    </row>
    <row r="25" spans="1:53" ht="15" customHeight="1" thickBot="1">
      <c r="J25" s="1287"/>
      <c r="K25" s="1288"/>
      <c r="L25" s="1187"/>
      <c r="M25" s="1122" t="s">
        <v>4016</v>
      </c>
      <c r="T25" s="1125"/>
      <c r="U25" s="1122" t="s">
        <v>4017</v>
      </c>
      <c r="AB25" s="1125"/>
      <c r="AC25" s="1122" t="s">
        <v>4015</v>
      </c>
      <c r="AH25" s="1108"/>
      <c r="AJ25" s="1147"/>
      <c r="AK25" s="1120" t="s">
        <v>3897</v>
      </c>
      <c r="AL25" s="1291"/>
      <c r="AM25" s="1291"/>
      <c r="AN25" s="1291"/>
      <c r="AO25" s="1291"/>
      <c r="AP25" s="1291"/>
      <c r="AQ25" s="1291"/>
      <c r="AR25" s="1238" t="s">
        <v>3983</v>
      </c>
      <c r="AS25" s="1238"/>
      <c r="AT25" s="1238"/>
      <c r="AU25" s="1238"/>
      <c r="AV25" s="1238"/>
      <c r="AW25" s="1238"/>
      <c r="AX25" s="1238"/>
      <c r="AY25" s="1238"/>
      <c r="AZ25" s="1238"/>
      <c r="BA25" s="1274"/>
    </row>
    <row r="26" spans="1:53" ht="15" customHeight="1">
      <c r="J26" s="1287"/>
      <c r="K26" s="1288"/>
      <c r="L26" s="1175" t="s">
        <v>3980</v>
      </c>
      <c r="M26" s="1112"/>
      <c r="N26" s="1112"/>
      <c r="O26" s="1112"/>
      <c r="P26" s="1112"/>
      <c r="Q26" s="1112"/>
      <c r="R26" s="1112"/>
      <c r="S26" s="1112"/>
      <c r="T26" s="1112"/>
      <c r="U26" s="1112"/>
      <c r="V26" s="1112"/>
      <c r="W26" s="1112"/>
      <c r="X26" s="1112"/>
      <c r="Y26" s="1112"/>
      <c r="Z26" s="1112"/>
      <c r="AA26" s="1112"/>
      <c r="AB26" s="1112"/>
      <c r="AC26" s="1112"/>
      <c r="AD26" s="1112"/>
      <c r="AE26" s="1112"/>
      <c r="AF26" s="1112"/>
      <c r="AG26" s="1112"/>
      <c r="AH26" s="1113"/>
      <c r="AJ26" s="1147"/>
      <c r="AK26" s="1122" t="s">
        <v>3989</v>
      </c>
      <c r="BA26" s="1148"/>
    </row>
    <row r="27" spans="1:53" ht="15" customHeight="1">
      <c r="A27" s="1127" t="s">
        <v>4053</v>
      </c>
      <c r="J27" s="1289"/>
      <c r="K27" s="1290"/>
      <c r="L27" s="1173"/>
      <c r="M27" s="1115" t="s">
        <v>4030</v>
      </c>
      <c r="N27" s="1110"/>
      <c r="O27" s="1110"/>
      <c r="P27" s="1110"/>
      <c r="Q27" s="1110"/>
      <c r="R27" s="1110"/>
      <c r="S27" s="1110"/>
      <c r="T27" s="1110"/>
      <c r="U27" s="1110"/>
      <c r="V27" s="1110"/>
      <c r="W27" s="1110"/>
      <c r="X27" s="1110"/>
      <c r="Y27" s="1110"/>
      <c r="Z27" s="1110"/>
      <c r="AA27" s="1110"/>
      <c r="AB27" s="1110"/>
      <c r="AC27" s="1110"/>
      <c r="AD27" s="1110"/>
      <c r="AE27" s="1110"/>
      <c r="AF27" s="1110"/>
      <c r="AG27" s="1110"/>
      <c r="AH27" s="1111"/>
      <c r="AJ27" s="1147"/>
      <c r="AL27" s="1125"/>
      <c r="AM27" s="1122" t="s">
        <v>3911</v>
      </c>
      <c r="AO27" s="1125"/>
      <c r="AP27" s="1122" t="s">
        <v>3912</v>
      </c>
      <c r="AR27" s="1125"/>
      <c r="AS27" s="1122" t="s">
        <v>3947</v>
      </c>
      <c r="AU27" s="1125"/>
      <c r="AV27" s="1122" t="s">
        <v>3913</v>
      </c>
      <c r="BA27" s="1148"/>
    </row>
    <row r="28" spans="1:53" ht="15" customHeight="1">
      <c r="B28" s="1125"/>
      <c r="C28" s="1122" t="s">
        <v>3978</v>
      </c>
      <c r="AJ28" s="1147"/>
      <c r="AK28" s="1292" t="s">
        <v>3949</v>
      </c>
      <c r="AL28" s="1293"/>
      <c r="AM28" s="1293"/>
      <c r="AN28" s="1293"/>
      <c r="AO28" s="1293"/>
      <c r="AP28" s="1293"/>
      <c r="AQ28" s="1293"/>
      <c r="AR28" s="1293"/>
      <c r="AS28" s="1294"/>
      <c r="AT28" s="1232" t="s">
        <v>3972</v>
      </c>
      <c r="AU28" s="1232"/>
      <c r="AV28" s="1232"/>
      <c r="AW28" s="1232"/>
      <c r="AX28" s="1232"/>
      <c r="AY28" s="1232"/>
      <c r="AZ28" s="1232"/>
      <c r="BA28" s="1148"/>
    </row>
    <row r="29" spans="1:53" ht="15" customHeight="1">
      <c r="B29" s="1125"/>
      <c r="C29" s="1122" t="s">
        <v>3979</v>
      </c>
      <c r="F29" s="1122" t="s">
        <v>4018</v>
      </c>
      <c r="AJ29" s="1147"/>
      <c r="AK29" s="1282"/>
      <c r="AL29" s="1282"/>
      <c r="AM29" s="1282"/>
      <c r="AN29" s="1282"/>
      <c r="AO29" s="1282"/>
      <c r="AP29" s="1282"/>
      <c r="AQ29" s="1282"/>
      <c r="AR29" s="1282"/>
      <c r="AS29" s="1282"/>
      <c r="AT29" s="1230"/>
      <c r="AU29" s="1230"/>
      <c r="AV29" s="1230"/>
      <c r="AW29" s="1230"/>
      <c r="AX29" s="1230"/>
      <c r="AY29" s="1230"/>
      <c r="AZ29" s="1230"/>
      <c r="BA29" s="1148"/>
    </row>
    <row r="30" spans="1:53" ht="15" customHeight="1">
      <c r="AJ30" s="1147"/>
      <c r="AK30" s="1282"/>
      <c r="AL30" s="1282"/>
      <c r="AM30" s="1282"/>
      <c r="AN30" s="1282"/>
      <c r="AO30" s="1282"/>
      <c r="AP30" s="1282"/>
      <c r="AQ30" s="1282"/>
      <c r="AR30" s="1282"/>
      <c r="AS30" s="1282"/>
      <c r="AT30" s="1230"/>
      <c r="AU30" s="1230"/>
      <c r="AV30" s="1230"/>
      <c r="AW30" s="1230"/>
      <c r="AX30" s="1230"/>
      <c r="AY30" s="1230"/>
      <c r="AZ30" s="1230"/>
      <c r="BA30" s="1148"/>
    </row>
    <row r="31" spans="1:53" ht="15" customHeight="1">
      <c r="A31" s="1127" t="s">
        <v>4054</v>
      </c>
      <c r="AJ31" s="1147"/>
      <c r="AK31" s="1125"/>
      <c r="AL31" s="1238" t="s">
        <v>3985</v>
      </c>
      <c r="AM31" s="1238"/>
      <c r="AN31" s="1238"/>
      <c r="AO31" s="1238"/>
      <c r="AP31" s="1238"/>
      <c r="AQ31" s="1238"/>
      <c r="AR31" s="1238"/>
      <c r="AS31" s="1238"/>
      <c r="AT31" s="1238"/>
      <c r="AU31" s="1238"/>
      <c r="AV31" s="1238"/>
      <c r="AW31" s="1238"/>
      <c r="AX31" s="1238"/>
      <c r="AY31" s="1238"/>
      <c r="AZ31" s="1238"/>
      <c r="BA31" s="1274"/>
    </row>
    <row r="32" spans="1:53" ht="15" customHeight="1" thickBot="1">
      <c r="B32" s="1125"/>
      <c r="C32" s="1122" t="s">
        <v>3951</v>
      </c>
      <c r="AJ32" s="1172"/>
      <c r="AK32" s="1149"/>
      <c r="AL32" s="1149"/>
      <c r="AM32" s="1149"/>
      <c r="AN32" s="1149"/>
      <c r="AO32" s="1149"/>
      <c r="AP32" s="1149"/>
      <c r="AQ32" s="1149"/>
      <c r="AR32" s="1149"/>
      <c r="AS32" s="1149"/>
      <c r="AT32" s="1149"/>
      <c r="AU32" s="1149"/>
      <c r="AV32" s="1149"/>
      <c r="AW32" s="1149"/>
      <c r="AX32" s="1149"/>
      <c r="AY32" s="1149"/>
      <c r="AZ32" s="1149"/>
      <c r="BA32" s="1150"/>
    </row>
    <row r="33" spans="1:54" ht="15" customHeight="1" thickTop="1">
      <c r="B33" s="1125"/>
      <c r="C33" s="1122" t="s">
        <v>4000</v>
      </c>
    </row>
    <row r="34" spans="1:54" ht="15" customHeight="1">
      <c r="C34" s="1125"/>
      <c r="D34" s="1122" t="s">
        <v>3966</v>
      </c>
      <c r="T34" s="1125"/>
      <c r="U34" s="1122" t="s">
        <v>3967</v>
      </c>
      <c r="AK34" s="1125"/>
      <c r="AL34" s="1122" t="s">
        <v>3971</v>
      </c>
    </row>
    <row r="35" spans="1:54" ht="15" customHeight="1">
      <c r="D35" s="1275" t="s">
        <v>4031</v>
      </c>
      <c r="E35" s="1275"/>
      <c r="F35" s="1275"/>
      <c r="G35" s="1275"/>
      <c r="H35" s="1275"/>
      <c r="I35" s="1275"/>
      <c r="J35" s="1275"/>
      <c r="K35" s="1275"/>
      <c r="L35" s="1275"/>
      <c r="M35" s="1275"/>
      <c r="N35" s="1275"/>
      <c r="O35" s="1275"/>
      <c r="P35" s="1275"/>
      <c r="Q35" s="1275"/>
      <c r="R35" s="1275"/>
      <c r="U35" s="1275" t="s">
        <v>3968</v>
      </c>
      <c r="V35" s="1275"/>
      <c r="W35" s="1275"/>
      <c r="X35" s="1275"/>
      <c r="Y35" s="1275"/>
      <c r="Z35" s="1275"/>
      <c r="AA35" s="1275"/>
      <c r="AB35" s="1275"/>
      <c r="AC35" s="1275"/>
      <c r="AD35" s="1275"/>
      <c r="AE35" s="1275"/>
      <c r="AF35" s="1275"/>
      <c r="AG35" s="1275"/>
      <c r="AH35" s="1275"/>
      <c r="AI35" s="1275"/>
      <c r="AL35" s="1275" t="s">
        <v>3969</v>
      </c>
      <c r="AM35" s="1275"/>
      <c r="AN35" s="1275"/>
      <c r="AO35" s="1275"/>
      <c r="AP35" s="1275"/>
      <c r="AQ35" s="1275"/>
      <c r="AR35" s="1275"/>
      <c r="AS35" s="1275"/>
      <c r="AT35" s="1275"/>
      <c r="AU35" s="1275"/>
      <c r="AV35" s="1275"/>
      <c r="AW35" s="1275"/>
      <c r="AX35" s="1275"/>
      <c r="AY35" s="1275"/>
      <c r="AZ35" s="1275"/>
    </row>
    <row r="36" spans="1:54" ht="15" customHeight="1">
      <c r="D36" s="1275"/>
      <c r="E36" s="1275"/>
      <c r="F36" s="1275"/>
      <c r="G36" s="1275"/>
      <c r="H36" s="1275"/>
      <c r="I36" s="1275"/>
      <c r="J36" s="1275"/>
      <c r="K36" s="1275"/>
      <c r="L36" s="1275"/>
      <c r="M36" s="1275"/>
      <c r="N36" s="1275"/>
      <c r="O36" s="1275"/>
      <c r="P36" s="1275"/>
      <c r="Q36" s="1275"/>
      <c r="R36" s="1275"/>
      <c r="U36" s="1275"/>
      <c r="V36" s="1275"/>
      <c r="W36" s="1275"/>
      <c r="X36" s="1275"/>
      <c r="Y36" s="1275"/>
      <c r="Z36" s="1275"/>
      <c r="AA36" s="1275"/>
      <c r="AB36" s="1275"/>
      <c r="AC36" s="1275"/>
      <c r="AD36" s="1275"/>
      <c r="AE36" s="1275"/>
      <c r="AF36" s="1275"/>
      <c r="AG36" s="1275"/>
      <c r="AH36" s="1275"/>
      <c r="AI36" s="1275"/>
      <c r="AL36" s="1275"/>
      <c r="AM36" s="1275"/>
      <c r="AN36" s="1275"/>
      <c r="AO36" s="1275"/>
      <c r="AP36" s="1275"/>
      <c r="AQ36" s="1275"/>
      <c r="AR36" s="1275"/>
      <c r="AS36" s="1275"/>
      <c r="AT36" s="1275"/>
      <c r="AU36" s="1275"/>
      <c r="AV36" s="1275"/>
      <c r="AW36" s="1275"/>
      <c r="AX36" s="1275"/>
      <c r="AY36" s="1275"/>
      <c r="AZ36" s="1275"/>
    </row>
    <row r="37" spans="1:54" ht="15" customHeight="1">
      <c r="C37" s="1116" t="s">
        <v>3897</v>
      </c>
      <c r="D37" s="1304"/>
      <c r="E37" s="1304"/>
      <c r="F37" s="1304"/>
      <c r="G37" s="1304"/>
      <c r="H37" s="1304"/>
      <c r="I37" s="1304"/>
      <c r="J37" s="1116" t="s">
        <v>3970</v>
      </c>
      <c r="T37" s="1116" t="s">
        <v>3897</v>
      </c>
      <c r="U37" s="1304"/>
      <c r="V37" s="1304"/>
      <c r="W37" s="1304"/>
      <c r="X37" s="1304"/>
      <c r="Y37" s="1304"/>
      <c r="Z37" s="1304"/>
      <c r="AA37" s="1116" t="s">
        <v>3965</v>
      </c>
      <c r="AL37" s="1304"/>
      <c r="AM37" s="1304"/>
      <c r="AN37" s="1304"/>
      <c r="AO37" s="1304"/>
      <c r="AP37" s="1304"/>
      <c r="AQ37" s="1304"/>
      <c r="AR37" s="1159" t="s">
        <v>4041</v>
      </c>
    </row>
    <row r="38" spans="1:54" s="1139" customFormat="1" ht="12" customHeight="1">
      <c r="C38" s="1171"/>
      <c r="D38" s="1143"/>
      <c r="E38" s="1144" t="s">
        <v>3958</v>
      </c>
      <c r="F38" s="1117" t="s">
        <v>4039</v>
      </c>
      <c r="BB38" s="1168"/>
    </row>
    <row r="39" spans="1:54" s="1139" customFormat="1" ht="12" customHeight="1">
      <c r="C39" s="1171"/>
      <c r="D39" s="1143"/>
      <c r="E39" s="1144" t="s">
        <v>3959</v>
      </c>
      <c r="F39" s="1139" t="s">
        <v>3956</v>
      </c>
      <c r="T39" s="1139" t="s">
        <v>4036</v>
      </c>
      <c r="BB39" s="1168"/>
    </row>
    <row r="40" spans="1:54" s="1139" customFormat="1" ht="12" customHeight="1">
      <c r="C40" s="1171"/>
      <c r="D40" s="1143"/>
      <c r="E40" s="1144" t="s">
        <v>3960</v>
      </c>
      <c r="F40" s="1139" t="s">
        <v>3957</v>
      </c>
      <c r="T40" s="1295"/>
      <c r="U40" s="1296"/>
      <c r="V40" s="1296"/>
      <c r="W40" s="1296"/>
      <c r="X40" s="1296"/>
      <c r="Y40" s="1296"/>
      <c r="Z40" s="1296"/>
      <c r="AA40" s="1296"/>
      <c r="AB40" s="1296"/>
      <c r="AC40" s="1296"/>
      <c r="AD40" s="1296"/>
      <c r="AE40" s="1296"/>
      <c r="AF40" s="1296"/>
      <c r="AG40" s="1296"/>
      <c r="AH40" s="1296"/>
      <c r="AI40" s="1296"/>
      <c r="AJ40" s="1296"/>
      <c r="AK40" s="1296"/>
      <c r="AL40" s="1296"/>
      <c r="AM40" s="1296"/>
      <c r="AN40" s="1296"/>
      <c r="AO40" s="1296"/>
      <c r="AP40" s="1296"/>
      <c r="AQ40" s="1296"/>
      <c r="AR40" s="1296"/>
      <c r="AS40" s="1296"/>
      <c r="AT40" s="1296"/>
      <c r="AU40" s="1296"/>
      <c r="AV40" s="1296"/>
      <c r="AW40" s="1296"/>
      <c r="AX40" s="1296"/>
      <c r="AY40" s="1296"/>
      <c r="AZ40" s="1296"/>
      <c r="BA40" s="1297"/>
      <c r="BB40" s="1168"/>
    </row>
    <row r="41" spans="1:54" s="1139" customFormat="1" ht="12" customHeight="1">
      <c r="C41" s="1171"/>
      <c r="D41" s="1143"/>
      <c r="E41" s="1144" t="s">
        <v>3961</v>
      </c>
      <c r="F41" s="1139" t="s">
        <v>3953</v>
      </c>
      <c r="T41" s="1298"/>
      <c r="U41" s="1299"/>
      <c r="V41" s="1299"/>
      <c r="W41" s="1299"/>
      <c r="X41" s="1299"/>
      <c r="Y41" s="1299"/>
      <c r="Z41" s="1299"/>
      <c r="AA41" s="1299"/>
      <c r="AB41" s="1299"/>
      <c r="AC41" s="1299"/>
      <c r="AD41" s="1299"/>
      <c r="AE41" s="1299"/>
      <c r="AF41" s="1299"/>
      <c r="AG41" s="1299"/>
      <c r="AH41" s="1299"/>
      <c r="AI41" s="1299"/>
      <c r="AJ41" s="1299"/>
      <c r="AK41" s="1299"/>
      <c r="AL41" s="1299"/>
      <c r="AM41" s="1299"/>
      <c r="AN41" s="1299"/>
      <c r="AO41" s="1299"/>
      <c r="AP41" s="1299"/>
      <c r="AQ41" s="1299"/>
      <c r="AR41" s="1299"/>
      <c r="AS41" s="1299"/>
      <c r="AT41" s="1299"/>
      <c r="AU41" s="1299"/>
      <c r="AV41" s="1299"/>
      <c r="AW41" s="1299"/>
      <c r="AX41" s="1299"/>
      <c r="AY41" s="1299"/>
      <c r="AZ41" s="1299"/>
      <c r="BA41" s="1300"/>
      <c r="BB41" s="1168"/>
    </row>
    <row r="42" spans="1:54" s="1139" customFormat="1" ht="12" customHeight="1">
      <c r="C42" s="1171"/>
      <c r="D42" s="1143"/>
      <c r="E42" s="1144" t="s">
        <v>3962</v>
      </c>
      <c r="F42" s="1139" t="s">
        <v>3954</v>
      </c>
      <c r="T42" s="1298"/>
      <c r="U42" s="1299"/>
      <c r="V42" s="1299"/>
      <c r="W42" s="1299"/>
      <c r="X42" s="1299"/>
      <c r="Y42" s="1299"/>
      <c r="Z42" s="1299"/>
      <c r="AA42" s="1299"/>
      <c r="AB42" s="1299"/>
      <c r="AC42" s="1299"/>
      <c r="AD42" s="1299"/>
      <c r="AE42" s="1299"/>
      <c r="AF42" s="1299"/>
      <c r="AG42" s="1299"/>
      <c r="AH42" s="1299"/>
      <c r="AI42" s="1299"/>
      <c r="AJ42" s="1299"/>
      <c r="AK42" s="1299"/>
      <c r="AL42" s="1299"/>
      <c r="AM42" s="1299"/>
      <c r="AN42" s="1299"/>
      <c r="AO42" s="1299"/>
      <c r="AP42" s="1299"/>
      <c r="AQ42" s="1299"/>
      <c r="AR42" s="1299"/>
      <c r="AS42" s="1299"/>
      <c r="AT42" s="1299"/>
      <c r="AU42" s="1299"/>
      <c r="AV42" s="1299"/>
      <c r="AW42" s="1299"/>
      <c r="AX42" s="1299"/>
      <c r="AY42" s="1299"/>
      <c r="AZ42" s="1299"/>
      <c r="BA42" s="1300"/>
      <c r="BB42" s="1168"/>
    </row>
    <row r="43" spans="1:54" s="1139" customFormat="1" ht="12" customHeight="1">
      <c r="C43" s="1171"/>
      <c r="D43" s="1143"/>
      <c r="E43" s="1144" t="s">
        <v>3963</v>
      </c>
      <c r="F43" s="1139" t="s">
        <v>3952</v>
      </c>
      <c r="T43" s="1298"/>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c r="AU43" s="1299"/>
      <c r="AV43" s="1299"/>
      <c r="AW43" s="1299"/>
      <c r="AX43" s="1299"/>
      <c r="AY43" s="1299"/>
      <c r="AZ43" s="1299"/>
      <c r="BA43" s="1300"/>
      <c r="BB43" s="1168"/>
    </row>
    <row r="44" spans="1:54" s="1139" customFormat="1" ht="12" customHeight="1">
      <c r="C44" s="1171"/>
      <c r="D44" s="1143"/>
      <c r="E44" s="1144" t="s">
        <v>3964</v>
      </c>
      <c r="F44" s="1139" t="s">
        <v>3955</v>
      </c>
      <c r="T44" s="1301"/>
      <c r="U44" s="1302"/>
      <c r="V44" s="1302"/>
      <c r="W44" s="1302"/>
      <c r="X44" s="1302"/>
      <c r="Y44" s="1302"/>
      <c r="Z44" s="1302"/>
      <c r="AA44" s="1302"/>
      <c r="AB44" s="1302"/>
      <c r="AC44" s="1302"/>
      <c r="AD44" s="1302"/>
      <c r="AE44" s="1302"/>
      <c r="AF44" s="1302"/>
      <c r="AG44" s="1302"/>
      <c r="AH44" s="1302"/>
      <c r="AI44" s="1302"/>
      <c r="AJ44" s="1302"/>
      <c r="AK44" s="1302"/>
      <c r="AL44" s="1302"/>
      <c r="AM44" s="1302"/>
      <c r="AN44" s="1302"/>
      <c r="AO44" s="1302"/>
      <c r="AP44" s="1302"/>
      <c r="AQ44" s="1302"/>
      <c r="AR44" s="1302"/>
      <c r="AS44" s="1302"/>
      <c r="AT44" s="1302"/>
      <c r="AU44" s="1302"/>
      <c r="AV44" s="1302"/>
      <c r="AW44" s="1302"/>
      <c r="AX44" s="1302"/>
      <c r="AY44" s="1302"/>
      <c r="AZ44" s="1302"/>
      <c r="BA44" s="1303"/>
      <c r="BB44" s="1168"/>
    </row>
    <row r="45" spans="1:54" ht="15" customHeight="1" thickBot="1">
      <c r="A45" s="1127"/>
      <c r="BB45" s="1167" t="s">
        <v>4007</v>
      </c>
    </row>
    <row r="46" spans="1:54" ht="24.95" customHeight="1" thickBot="1">
      <c r="A46" s="1271" t="s">
        <v>4056</v>
      </c>
      <c r="B46" s="1272"/>
      <c r="C46" s="1272"/>
      <c r="D46" s="1272"/>
      <c r="E46" s="1272"/>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3"/>
    </row>
    <row r="47" spans="1:54" s="1124" customFormat="1" ht="24.95" customHeight="1">
      <c r="A47" s="1152"/>
      <c r="B47" s="1188" t="s">
        <v>3899</v>
      </c>
      <c r="C47" s="1131"/>
      <c r="D47" s="1131"/>
      <c r="E47" s="1131"/>
      <c r="F47" s="1131"/>
      <c r="G47" s="1131"/>
      <c r="H47" s="1131"/>
      <c r="I47" s="1131"/>
      <c r="J47" s="1131"/>
      <c r="K47" s="1131"/>
      <c r="L47" s="1131"/>
      <c r="M47" s="1131"/>
      <c r="N47" s="1152"/>
      <c r="O47" s="1188" t="s">
        <v>3901</v>
      </c>
      <c r="P47" s="1131"/>
      <c r="Q47" s="1131"/>
      <c r="R47" s="1131"/>
      <c r="S47" s="1131"/>
      <c r="T47" s="1131"/>
      <c r="U47" s="1131"/>
      <c r="V47" s="1131"/>
      <c r="W47" s="1132"/>
      <c r="X47" s="1152"/>
      <c r="Y47" s="1188" t="s">
        <v>3905</v>
      </c>
      <c r="Z47" s="1131"/>
      <c r="AA47" s="1131"/>
      <c r="AB47" s="1131"/>
      <c r="AC47" s="1131"/>
      <c r="AD47" s="1131"/>
      <c r="AE47" s="1131"/>
      <c r="AF47" s="1131"/>
      <c r="AG47" s="1132"/>
      <c r="AH47" s="1152"/>
      <c r="AI47" s="1188" t="s">
        <v>3938</v>
      </c>
      <c r="AJ47" s="1131"/>
      <c r="AK47" s="1131"/>
      <c r="AL47" s="1131"/>
      <c r="AM47" s="1131"/>
      <c r="AN47" s="1131"/>
      <c r="AO47" s="1131"/>
      <c r="AP47" s="1131"/>
      <c r="AQ47" s="1132"/>
      <c r="AR47" s="1152"/>
      <c r="AS47" s="1188" t="s">
        <v>3900</v>
      </c>
      <c r="AT47" s="1131"/>
      <c r="AU47" s="1131"/>
      <c r="AV47" s="1131"/>
      <c r="AW47" s="1131"/>
      <c r="AX47" s="1131"/>
      <c r="AY47" s="1131"/>
      <c r="AZ47" s="1131"/>
      <c r="BA47" s="1132"/>
      <c r="BB47" s="1169"/>
    </row>
    <row r="48" spans="1:54" ht="24.95" customHeight="1">
      <c r="A48" s="1118"/>
      <c r="I48" s="1122"/>
      <c r="J48" s="1122"/>
      <c r="N48" s="1118"/>
      <c r="O48" s="1122" t="s">
        <v>3897</v>
      </c>
      <c r="P48" s="1261"/>
      <c r="Q48" s="1261"/>
      <c r="R48" s="1261"/>
      <c r="S48" s="1261"/>
      <c r="T48" s="1261"/>
      <c r="U48" s="1261"/>
      <c r="V48" s="1261"/>
      <c r="W48" s="1133" t="s">
        <v>3898</v>
      </c>
      <c r="X48" s="1118"/>
      <c r="Y48" s="1122" t="s">
        <v>3897</v>
      </c>
      <c r="Z48" s="1261"/>
      <c r="AA48" s="1261"/>
      <c r="AB48" s="1261"/>
      <c r="AC48" s="1261"/>
      <c r="AD48" s="1261"/>
      <c r="AE48" s="1261"/>
      <c r="AF48" s="1261"/>
      <c r="AG48" s="1122" t="s">
        <v>3898</v>
      </c>
      <c r="AH48" s="1118"/>
      <c r="AI48" s="1122" t="s">
        <v>3897</v>
      </c>
      <c r="AJ48" s="1261"/>
      <c r="AK48" s="1261"/>
      <c r="AL48" s="1261"/>
      <c r="AM48" s="1261"/>
      <c r="AN48" s="1261"/>
      <c r="AO48" s="1261"/>
      <c r="AP48" s="1261"/>
      <c r="AQ48" s="1122" t="s">
        <v>3898</v>
      </c>
      <c r="AR48" s="1118"/>
      <c r="AS48" s="1122" t="s">
        <v>3897</v>
      </c>
      <c r="AT48" s="1261"/>
      <c r="AU48" s="1261"/>
      <c r="AV48" s="1261"/>
      <c r="AW48" s="1261"/>
      <c r="AX48" s="1261"/>
      <c r="AY48" s="1261"/>
      <c r="AZ48" s="1261"/>
      <c r="BA48" s="1133" t="s">
        <v>3898</v>
      </c>
    </row>
    <row r="49" spans="1:54" ht="15" customHeight="1">
      <c r="A49" s="1118"/>
      <c r="B49" s="1125"/>
      <c r="C49" s="1277" t="s">
        <v>4023</v>
      </c>
      <c r="D49" s="1277"/>
      <c r="E49" s="1277"/>
      <c r="F49" s="1277"/>
      <c r="G49" s="1277"/>
      <c r="H49" s="1277"/>
      <c r="I49" s="1277"/>
      <c r="J49" s="1277"/>
      <c r="N49" s="1118"/>
      <c r="O49" s="1125"/>
      <c r="P49" s="1278" t="s">
        <v>4022</v>
      </c>
      <c r="Q49" s="1278"/>
      <c r="R49" s="1278"/>
      <c r="S49" s="1278"/>
      <c r="T49" s="1278"/>
      <c r="U49" s="1278"/>
      <c r="V49" s="1278"/>
      <c r="W49" s="1279"/>
      <c r="X49" s="1118"/>
      <c r="Y49" s="1125"/>
      <c r="Z49" s="1278" t="s">
        <v>4022</v>
      </c>
      <c r="AA49" s="1278"/>
      <c r="AB49" s="1278"/>
      <c r="AC49" s="1278"/>
      <c r="AD49" s="1278"/>
      <c r="AE49" s="1278"/>
      <c r="AF49" s="1278"/>
      <c r="AG49" s="1279"/>
      <c r="AH49" s="1118"/>
      <c r="AI49" s="1125"/>
      <c r="AJ49" s="1278" t="s">
        <v>4022</v>
      </c>
      <c r="AK49" s="1278"/>
      <c r="AL49" s="1278"/>
      <c r="AM49" s="1278"/>
      <c r="AN49" s="1278"/>
      <c r="AO49" s="1278"/>
      <c r="AP49" s="1278"/>
      <c r="AQ49" s="1279"/>
      <c r="AR49" s="1118"/>
      <c r="AS49" s="1125"/>
      <c r="AT49" s="1278" t="s">
        <v>4022</v>
      </c>
      <c r="AU49" s="1278"/>
      <c r="AV49" s="1278"/>
      <c r="AW49" s="1278"/>
      <c r="AX49" s="1278"/>
      <c r="AY49" s="1278"/>
      <c r="AZ49" s="1278"/>
      <c r="BA49" s="1279"/>
    </row>
    <row r="50" spans="1:54" ht="15" customHeight="1">
      <c r="A50" s="1118"/>
      <c r="C50" s="1189"/>
      <c r="D50" s="1189"/>
      <c r="E50" s="1280" t="s">
        <v>4025</v>
      </c>
      <c r="F50" s="1280"/>
      <c r="G50" s="1280"/>
      <c r="H50" s="1280"/>
      <c r="I50" s="1280"/>
      <c r="J50" s="1280"/>
      <c r="K50" s="1280"/>
      <c r="L50" s="1280"/>
      <c r="N50" s="1118"/>
      <c r="O50" s="1189"/>
      <c r="Q50" s="1281" t="s">
        <v>4024</v>
      </c>
      <c r="R50" s="1281"/>
      <c r="S50" s="1281"/>
      <c r="T50" s="1281"/>
      <c r="U50" s="1281"/>
      <c r="V50" s="1281"/>
      <c r="X50" s="1118"/>
      <c r="Y50" s="1189"/>
      <c r="AA50" s="1281" t="s">
        <v>4024</v>
      </c>
      <c r="AB50" s="1281"/>
      <c r="AC50" s="1281"/>
      <c r="AD50" s="1281"/>
      <c r="AE50" s="1281"/>
      <c r="AF50" s="1281"/>
      <c r="AH50" s="1118"/>
      <c r="AI50" s="1189"/>
      <c r="AK50" s="1281" t="s">
        <v>4024</v>
      </c>
      <c r="AL50" s="1281"/>
      <c r="AM50" s="1281"/>
      <c r="AN50" s="1281"/>
      <c r="AO50" s="1281"/>
      <c r="AP50" s="1281"/>
      <c r="AR50" s="1118"/>
      <c r="AS50" s="1189"/>
      <c r="AU50" s="1281" t="s">
        <v>4024</v>
      </c>
      <c r="AV50" s="1281"/>
      <c r="AW50" s="1281"/>
      <c r="AX50" s="1281"/>
      <c r="AY50" s="1281"/>
      <c r="AZ50" s="1281"/>
      <c r="BA50" s="1119"/>
    </row>
    <row r="51" spans="1:54" ht="24.95" customHeight="1">
      <c r="A51" s="1118"/>
      <c r="B51" s="1121" t="s">
        <v>3918</v>
      </c>
      <c r="C51" s="1206"/>
      <c r="D51" s="1190" t="s">
        <v>4021</v>
      </c>
      <c r="E51" s="1264"/>
      <c r="F51" s="1264"/>
      <c r="G51" s="1264"/>
      <c r="H51" s="1264"/>
      <c r="I51" s="1264"/>
      <c r="J51" s="1264"/>
      <c r="K51" s="1264"/>
      <c r="L51" s="1264"/>
      <c r="M51" s="14" t="s">
        <v>4020</v>
      </c>
      <c r="N51" s="1191" t="s">
        <v>3918</v>
      </c>
      <c r="O51" s="1206"/>
      <c r="P51" s="1190" t="s">
        <v>4021</v>
      </c>
      <c r="Q51" s="1260"/>
      <c r="R51" s="1260"/>
      <c r="S51" s="1260"/>
      <c r="T51" s="1260"/>
      <c r="U51" s="1260"/>
      <c r="V51" s="1260"/>
      <c r="W51" s="14" t="s">
        <v>4020</v>
      </c>
      <c r="X51" s="1191" t="s">
        <v>3918</v>
      </c>
      <c r="Y51" s="1206"/>
      <c r="Z51" s="1190" t="s">
        <v>4021</v>
      </c>
      <c r="AA51" s="1260"/>
      <c r="AB51" s="1260"/>
      <c r="AC51" s="1260"/>
      <c r="AD51" s="1260"/>
      <c r="AE51" s="1260"/>
      <c r="AF51" s="1260"/>
      <c r="AG51" s="14" t="s">
        <v>4020</v>
      </c>
      <c r="AH51" s="1191" t="s">
        <v>3918</v>
      </c>
      <c r="AI51" s="1206"/>
      <c r="AJ51" s="1190" t="s">
        <v>4021</v>
      </c>
      <c r="AK51" s="1260"/>
      <c r="AL51" s="1260"/>
      <c r="AM51" s="1260"/>
      <c r="AN51" s="1260"/>
      <c r="AO51" s="1260"/>
      <c r="AP51" s="1260"/>
      <c r="AQ51" s="14" t="s">
        <v>4020</v>
      </c>
      <c r="AR51" s="1191" t="s">
        <v>3918</v>
      </c>
      <c r="AS51" s="1206"/>
      <c r="AT51" s="1190" t="s">
        <v>4021</v>
      </c>
      <c r="AU51" s="1260"/>
      <c r="AV51" s="1260"/>
      <c r="AW51" s="1260"/>
      <c r="AX51" s="1260"/>
      <c r="AY51" s="1260"/>
      <c r="AZ51" s="1260"/>
      <c r="BA51" s="1192" t="s">
        <v>4020</v>
      </c>
    </row>
    <row r="52" spans="1:54" ht="24.95" customHeight="1">
      <c r="A52" s="1134"/>
      <c r="B52" s="1122" t="s">
        <v>3902</v>
      </c>
      <c r="E52" s="1122" t="s">
        <v>3897</v>
      </c>
      <c r="F52" s="1276"/>
      <c r="G52" s="1276"/>
      <c r="H52" s="1276"/>
      <c r="I52" s="1276"/>
      <c r="J52" s="1276"/>
      <c r="K52" s="1276"/>
      <c r="L52" s="1276"/>
      <c r="M52" s="1122" t="s">
        <v>3898</v>
      </c>
      <c r="N52" s="1134"/>
      <c r="O52" s="1122" t="s">
        <v>3914</v>
      </c>
      <c r="W52" s="1119"/>
      <c r="X52" s="1118"/>
      <c r="AG52" s="1119"/>
      <c r="AH52" s="1134"/>
      <c r="AI52" s="1122" t="s">
        <v>3992</v>
      </c>
      <c r="AQ52" s="1119"/>
      <c r="AR52" s="1134"/>
      <c r="AS52" s="1122" t="s">
        <v>3921</v>
      </c>
      <c r="BA52" s="1119"/>
    </row>
    <row r="53" spans="1:54" ht="24.95" customHeight="1">
      <c r="A53" s="1134"/>
      <c r="B53" s="1122" t="s">
        <v>3903</v>
      </c>
      <c r="E53" s="1122" t="s">
        <v>3897</v>
      </c>
      <c r="F53" s="1261"/>
      <c r="G53" s="1261"/>
      <c r="H53" s="1261"/>
      <c r="I53" s="1261"/>
      <c r="J53" s="1261"/>
      <c r="K53" s="1261"/>
      <c r="L53" s="1261"/>
      <c r="M53" s="1122" t="s">
        <v>3898</v>
      </c>
      <c r="N53" s="1134"/>
      <c r="O53" s="1122" t="s">
        <v>3917</v>
      </c>
      <c r="W53" s="1119"/>
      <c r="X53" s="1118"/>
      <c r="AG53" s="1119"/>
      <c r="AH53" s="1134"/>
      <c r="AI53" s="1122" t="s">
        <v>3993</v>
      </c>
      <c r="AQ53" s="1119"/>
      <c r="AR53" s="1134"/>
      <c r="AS53" s="1122" t="s">
        <v>3922</v>
      </c>
      <c r="BA53" s="1119"/>
    </row>
    <row r="54" spans="1:54" ht="24.95" customHeight="1">
      <c r="A54" s="1134"/>
      <c r="B54" s="1122" t="s">
        <v>3904</v>
      </c>
      <c r="E54" s="1122" t="s">
        <v>3897</v>
      </c>
      <c r="F54" s="1261"/>
      <c r="G54" s="1261"/>
      <c r="H54" s="1261"/>
      <c r="I54" s="1261"/>
      <c r="J54" s="1261"/>
      <c r="K54" s="1261"/>
      <c r="L54" s="1261"/>
      <c r="M54" s="1122" t="s">
        <v>3898</v>
      </c>
      <c r="N54" s="1134"/>
      <c r="O54" s="1122" t="s">
        <v>3915</v>
      </c>
      <c r="S54" s="1122"/>
      <c r="T54" s="1122"/>
      <c r="W54" s="1119"/>
      <c r="X54" s="1118"/>
      <c r="AG54" s="1119"/>
      <c r="AH54" s="1134"/>
      <c r="AI54" s="1122" t="s">
        <v>3994</v>
      </c>
      <c r="AQ54" s="1119"/>
      <c r="AR54" s="1118"/>
      <c r="BA54" s="1119"/>
    </row>
    <row r="55" spans="1:54" ht="24.95" customHeight="1" thickBot="1">
      <c r="A55" s="1103"/>
      <c r="B55" s="1104"/>
      <c r="C55" s="1104"/>
      <c r="D55" s="1104"/>
      <c r="E55" s="1104"/>
      <c r="F55" s="1196" t="s">
        <v>4032</v>
      </c>
      <c r="G55" s="1104"/>
      <c r="H55" s="1104"/>
      <c r="I55" s="1104"/>
      <c r="J55" s="1104"/>
      <c r="K55" s="1104"/>
      <c r="L55" s="1104"/>
      <c r="M55" s="1104"/>
      <c r="N55" s="1194"/>
      <c r="O55" s="1120" t="s">
        <v>3916</v>
      </c>
      <c r="P55" s="1104"/>
      <c r="Q55" s="1104"/>
      <c r="R55" s="1104"/>
      <c r="S55" s="1120"/>
      <c r="T55" s="1120"/>
      <c r="U55" s="1104"/>
      <c r="V55" s="1104"/>
      <c r="W55" s="1105"/>
      <c r="X55" s="1103"/>
      <c r="Y55" s="1104"/>
      <c r="Z55" s="1104"/>
      <c r="AA55" s="1104"/>
      <c r="AB55" s="1104"/>
      <c r="AC55" s="1104"/>
      <c r="AD55" s="1104"/>
      <c r="AE55" s="1104"/>
      <c r="AF55" s="1104"/>
      <c r="AG55" s="1105"/>
      <c r="AH55" s="1194"/>
      <c r="AI55" s="1120" t="s">
        <v>3995</v>
      </c>
      <c r="AJ55" s="1104"/>
      <c r="AK55" s="1104"/>
      <c r="AL55" s="1104"/>
      <c r="AM55" s="1104"/>
      <c r="AN55" s="1104"/>
      <c r="AO55" s="1104"/>
      <c r="AP55" s="1104"/>
      <c r="AQ55" s="1105"/>
      <c r="AR55" s="1103"/>
      <c r="AS55" s="1104"/>
      <c r="AT55" s="1104"/>
      <c r="AU55" s="1104"/>
      <c r="AV55" s="1104"/>
      <c r="AW55" s="1104"/>
      <c r="AX55" s="1104"/>
      <c r="AY55" s="1104"/>
      <c r="AZ55" s="1104"/>
      <c r="BA55" s="1105"/>
    </row>
    <row r="56" spans="1:54" s="1159" customFormat="1" ht="15" customHeight="1">
      <c r="A56" s="1166"/>
      <c r="B56" s="1159" t="s">
        <v>3906</v>
      </c>
      <c r="N56" s="1160"/>
      <c r="W56" s="1162"/>
      <c r="X56" s="1166"/>
      <c r="Y56" s="1159" t="s">
        <v>3931</v>
      </c>
      <c r="AG56" s="1162"/>
      <c r="AH56" s="1160"/>
      <c r="AQ56" s="1162"/>
      <c r="AR56" s="1166"/>
      <c r="AS56" s="1159" t="s">
        <v>4043</v>
      </c>
      <c r="BA56" s="1162"/>
      <c r="BB56" s="1170"/>
    </row>
    <row r="57" spans="1:54" s="1159" customFormat="1" ht="15" customHeight="1">
      <c r="A57" s="1160"/>
      <c r="B57" s="1161"/>
      <c r="C57" s="1159" t="s">
        <v>3923</v>
      </c>
      <c r="N57" s="1160"/>
      <c r="W57" s="1162"/>
      <c r="X57" s="1160"/>
      <c r="Y57" s="1161"/>
      <c r="Z57" s="1159" t="s">
        <v>3923</v>
      </c>
      <c r="AG57" s="1162"/>
      <c r="AI57" s="1161"/>
      <c r="AJ57" s="1159" t="s">
        <v>3996</v>
      </c>
      <c r="AQ57" s="1162"/>
      <c r="AR57" s="1160"/>
      <c r="AS57" s="1161"/>
      <c r="AT57" s="1159" t="s">
        <v>3923</v>
      </c>
      <c r="BA57" s="1162"/>
      <c r="BB57" s="1170" t="s">
        <v>3999</v>
      </c>
    </row>
    <row r="58" spans="1:54" s="1159" customFormat="1" ht="15" customHeight="1">
      <c r="A58" s="1160"/>
      <c r="B58" s="1161"/>
      <c r="C58" s="1159" t="s">
        <v>3939</v>
      </c>
      <c r="D58" s="1163"/>
      <c r="E58" s="1163"/>
      <c r="F58" s="1163"/>
      <c r="G58" s="1163"/>
      <c r="H58" s="1163"/>
      <c r="I58" s="1163"/>
      <c r="J58" s="1163"/>
      <c r="K58" s="1163"/>
      <c r="L58" s="1163"/>
      <c r="M58" s="1164"/>
      <c r="N58" s="1160"/>
      <c r="O58" s="1161"/>
      <c r="P58" s="1159" t="s">
        <v>3940</v>
      </c>
      <c r="W58" s="1162"/>
      <c r="X58" s="1160"/>
      <c r="Y58" s="1161"/>
      <c r="Z58" s="1159" t="s">
        <v>3924</v>
      </c>
      <c r="AG58" s="1162"/>
      <c r="AH58" s="1160"/>
      <c r="AI58" s="1161"/>
      <c r="AJ58" s="1159" t="s">
        <v>3997</v>
      </c>
      <c r="AQ58" s="1162"/>
      <c r="AR58" s="1160"/>
      <c r="AS58" s="1161"/>
      <c r="AT58" s="1159" t="s">
        <v>4042</v>
      </c>
      <c r="AU58" s="1163"/>
      <c r="AV58" s="1163"/>
      <c r="AW58" s="1163"/>
      <c r="AX58" s="1163"/>
      <c r="AY58" s="1163"/>
      <c r="AZ58" s="1163"/>
      <c r="BA58" s="1162"/>
      <c r="BB58" s="1170" t="s">
        <v>3999</v>
      </c>
    </row>
    <row r="59" spans="1:54" s="1159" customFormat="1" ht="15" customHeight="1">
      <c r="A59" s="1160"/>
      <c r="C59" s="1161"/>
      <c r="D59" s="1159" t="s">
        <v>3927</v>
      </c>
      <c r="N59" s="1160"/>
      <c r="P59" s="1155" t="s">
        <v>3982</v>
      </c>
      <c r="W59" s="1162"/>
      <c r="X59" s="1160"/>
      <c r="Y59" s="1161"/>
      <c r="Z59" s="1262" t="s">
        <v>3925</v>
      </c>
      <c r="AA59" s="1262"/>
      <c r="AB59" s="1262"/>
      <c r="AC59" s="1262"/>
      <c r="AD59" s="1262"/>
      <c r="AE59" s="1262"/>
      <c r="AF59" s="1262"/>
      <c r="AG59" s="1162"/>
      <c r="AH59" s="1160"/>
      <c r="AJ59" s="1155" t="s">
        <v>3982</v>
      </c>
      <c r="AQ59" s="1162"/>
      <c r="AR59" s="1160"/>
      <c r="AS59" s="1161"/>
      <c r="AT59" s="1159" t="s">
        <v>4086</v>
      </c>
      <c r="BA59" s="1162"/>
      <c r="BB59" s="1170"/>
    </row>
    <row r="60" spans="1:54" s="1159" customFormat="1" ht="15" customHeight="1">
      <c r="A60" s="1160"/>
      <c r="C60" s="1161"/>
      <c r="D60" s="1159" t="s">
        <v>3928</v>
      </c>
      <c r="G60" s="1161"/>
      <c r="H60" s="1159" t="s">
        <v>3929</v>
      </c>
      <c r="N60" s="1160"/>
      <c r="P60" s="1165" t="s">
        <v>3937</v>
      </c>
      <c r="W60" s="1162"/>
      <c r="X60" s="1160"/>
      <c r="AG60" s="1162"/>
      <c r="AH60" s="1160"/>
      <c r="AJ60" s="1165" t="s">
        <v>3937</v>
      </c>
      <c r="AQ60" s="1162"/>
      <c r="AR60" s="1160"/>
      <c r="BA60" s="1162"/>
      <c r="BB60" s="1170"/>
    </row>
    <row r="61" spans="1:54" s="1159" customFormat="1" ht="15" customHeight="1">
      <c r="A61" s="1160"/>
      <c r="G61" s="1161"/>
      <c r="H61" s="1159" t="s">
        <v>3930</v>
      </c>
      <c r="N61" s="1160"/>
      <c r="Q61" s="1165" t="s">
        <v>3935</v>
      </c>
      <c r="W61" s="1162"/>
      <c r="X61" s="1156"/>
      <c r="Y61" s="1157" t="s">
        <v>3932</v>
      </c>
      <c r="Z61" s="1157"/>
      <c r="AA61" s="1157"/>
      <c r="AB61" s="1157"/>
      <c r="AC61" s="1157"/>
      <c r="AD61" s="1157"/>
      <c r="AE61" s="1157"/>
      <c r="AF61" s="1157"/>
      <c r="AG61" s="1158"/>
      <c r="AH61" s="1160"/>
      <c r="AK61" s="1165" t="s">
        <v>3945</v>
      </c>
      <c r="AQ61" s="1162"/>
      <c r="AR61" s="1156"/>
      <c r="AS61" s="1157" t="s">
        <v>4044</v>
      </c>
      <c r="AT61" s="1157"/>
      <c r="AU61" s="1157"/>
      <c r="AV61" s="1157"/>
      <c r="AW61" s="1157"/>
      <c r="AX61" s="1157"/>
      <c r="AY61" s="1157"/>
      <c r="AZ61" s="1157"/>
      <c r="BA61" s="1158"/>
      <c r="BB61" s="1170"/>
    </row>
    <row r="62" spans="1:54" s="1159" customFormat="1" ht="15" customHeight="1">
      <c r="A62" s="1160"/>
      <c r="N62" s="1160"/>
      <c r="Q62" s="1165" t="s">
        <v>3936</v>
      </c>
      <c r="W62" s="1162"/>
      <c r="X62" s="1160"/>
      <c r="Y62" s="1161"/>
      <c r="Z62" s="1159" t="s">
        <v>3923</v>
      </c>
      <c r="AG62" s="1162"/>
      <c r="AH62" s="1160"/>
      <c r="AQ62" s="1162"/>
      <c r="AR62" s="1160"/>
      <c r="AS62" s="1161"/>
      <c r="AT62" s="1159" t="s">
        <v>4047</v>
      </c>
      <c r="BA62" s="1162"/>
      <c r="BB62" s="1170"/>
    </row>
    <row r="63" spans="1:54" s="1159" customFormat="1" ht="15" customHeight="1">
      <c r="A63" s="1160"/>
      <c r="N63" s="1160"/>
      <c r="W63" s="1162"/>
      <c r="X63" s="1160"/>
      <c r="Y63" s="1161"/>
      <c r="Z63" s="1159" t="s">
        <v>3924</v>
      </c>
      <c r="AG63" s="1162"/>
      <c r="AH63" s="1160"/>
      <c r="AQ63" s="1162"/>
      <c r="AR63" s="1160"/>
      <c r="AS63" s="1161"/>
      <c r="AT63" s="1159" t="s">
        <v>4045</v>
      </c>
      <c r="BA63" s="1162"/>
      <c r="BB63" s="1170"/>
    </row>
    <row r="64" spans="1:54" ht="15" customHeight="1">
      <c r="A64" s="1118"/>
      <c r="N64" s="1118"/>
      <c r="W64" s="1119"/>
      <c r="X64" s="1118"/>
      <c r="Z64" s="1125"/>
      <c r="AA64" s="1263"/>
      <c r="AB64" s="1263"/>
      <c r="AC64" s="1122" t="s">
        <v>3934</v>
      </c>
      <c r="AG64" s="1119"/>
      <c r="AH64" s="1118"/>
      <c r="AQ64" s="1119"/>
      <c r="AR64" s="1118"/>
      <c r="AS64" s="1161"/>
      <c r="AT64" s="1159" t="s">
        <v>4046</v>
      </c>
      <c r="BA64" s="1119"/>
    </row>
    <row r="65" spans="1:54" ht="15" customHeight="1">
      <c r="A65" s="1118"/>
      <c r="N65" s="1118"/>
      <c r="W65" s="1119"/>
      <c r="X65" s="1118"/>
      <c r="Y65" s="1125"/>
      <c r="Z65" s="1238" t="s">
        <v>3925</v>
      </c>
      <c r="AA65" s="1238"/>
      <c r="AB65" s="1238"/>
      <c r="AC65" s="1238"/>
      <c r="AD65" s="1238"/>
      <c r="AE65" s="1238"/>
      <c r="AF65" s="1238"/>
      <c r="AG65" s="1119"/>
      <c r="AH65" s="1118"/>
      <c r="AQ65" s="1119"/>
      <c r="AR65" s="1118"/>
      <c r="BA65" s="1119"/>
    </row>
    <row r="66" spans="1:54" ht="15" customHeight="1">
      <c r="A66" s="1118"/>
      <c r="B66" s="1233" t="s">
        <v>4033</v>
      </c>
      <c r="C66" s="1234"/>
      <c r="D66" s="1234"/>
      <c r="E66" s="1234"/>
      <c r="F66" s="1234"/>
      <c r="G66" s="1234"/>
      <c r="H66" s="1234"/>
      <c r="I66" s="1234"/>
      <c r="J66" s="1234"/>
      <c r="K66" s="1234"/>
      <c r="L66" s="1234"/>
      <c r="N66" s="1118"/>
      <c r="W66" s="1119"/>
      <c r="X66" s="1118"/>
      <c r="Z66" s="1125"/>
      <c r="AA66" s="1263"/>
      <c r="AB66" s="1263"/>
      <c r="AC66" s="1122" t="s">
        <v>3934</v>
      </c>
      <c r="AG66" s="1119"/>
      <c r="AH66" s="1118"/>
      <c r="AQ66" s="1119"/>
      <c r="AR66" s="1118"/>
      <c r="BA66" s="1119"/>
    </row>
    <row r="67" spans="1:54" ht="15" customHeight="1">
      <c r="A67" s="1140"/>
      <c r="B67" s="1110"/>
      <c r="C67" s="1110"/>
      <c r="D67" s="1110"/>
      <c r="E67" s="1110"/>
      <c r="F67" s="1110"/>
      <c r="G67" s="1110"/>
      <c r="H67" s="1110"/>
      <c r="I67" s="1110"/>
      <c r="J67" s="1110"/>
      <c r="K67" s="1110"/>
      <c r="L67" s="1110"/>
      <c r="M67" s="1110"/>
      <c r="N67" s="1140"/>
      <c r="O67" s="1110"/>
      <c r="P67" s="1110"/>
      <c r="Q67" s="1110"/>
      <c r="R67" s="1110"/>
      <c r="S67" s="1110"/>
      <c r="T67" s="1110"/>
      <c r="U67" s="1110"/>
      <c r="V67" s="1110"/>
      <c r="W67" s="1141"/>
      <c r="X67" s="1140"/>
      <c r="Y67" s="1142"/>
      <c r="Z67" s="1115" t="s">
        <v>3933</v>
      </c>
      <c r="AA67" s="1110"/>
      <c r="AB67" s="1110"/>
      <c r="AC67" s="1110"/>
      <c r="AD67" s="1110"/>
      <c r="AE67" s="1110"/>
      <c r="AF67" s="1110"/>
      <c r="AG67" s="1141"/>
      <c r="AH67" s="1140"/>
      <c r="AI67" s="1110"/>
      <c r="AJ67" s="1110"/>
      <c r="AK67" s="1110"/>
      <c r="AL67" s="1110"/>
      <c r="AM67" s="1110"/>
      <c r="AN67" s="1110"/>
      <c r="AO67" s="1110"/>
      <c r="AP67" s="1110"/>
      <c r="AQ67" s="1141"/>
      <c r="AR67" s="1140"/>
      <c r="AS67" s="1110"/>
      <c r="AT67" s="1110"/>
      <c r="AU67" s="1110"/>
      <c r="AV67" s="1110"/>
      <c r="AW67" s="1110"/>
      <c r="AX67" s="1110"/>
      <c r="AY67" s="1110"/>
      <c r="AZ67" s="1110"/>
      <c r="BA67" s="1141"/>
    </row>
    <row r="68" spans="1:54" ht="3" customHeight="1">
      <c r="A68" s="1137"/>
      <c r="B68" s="1112"/>
      <c r="C68" s="1112"/>
      <c r="D68" s="1112"/>
      <c r="E68" s="1112"/>
      <c r="F68" s="1112"/>
      <c r="G68" s="1112"/>
      <c r="H68" s="1112"/>
      <c r="I68" s="1112"/>
      <c r="J68" s="1112"/>
      <c r="K68" s="1112"/>
      <c r="L68" s="1112"/>
      <c r="M68" s="1112"/>
      <c r="N68" s="1137"/>
      <c r="O68" s="1112"/>
      <c r="P68" s="1112"/>
      <c r="Q68" s="1112"/>
      <c r="R68" s="1112"/>
      <c r="S68" s="1112"/>
      <c r="T68" s="1112"/>
      <c r="U68" s="1112"/>
      <c r="V68" s="1112"/>
      <c r="W68" s="1138"/>
      <c r="X68" s="1137"/>
      <c r="Y68" s="1112"/>
      <c r="Z68" s="1114"/>
      <c r="AA68" s="1112"/>
      <c r="AB68" s="1112"/>
      <c r="AC68" s="1112"/>
      <c r="AD68" s="1112"/>
      <c r="AE68" s="1112"/>
      <c r="AF68" s="1112"/>
      <c r="AG68" s="1138"/>
      <c r="AH68" s="1137"/>
      <c r="AI68" s="1112"/>
      <c r="AJ68" s="1112"/>
      <c r="AK68" s="1112"/>
      <c r="AL68" s="1112"/>
      <c r="AM68" s="1112"/>
      <c r="AN68" s="1112"/>
      <c r="AO68" s="1112"/>
      <c r="AP68" s="1112"/>
      <c r="AQ68" s="1138"/>
      <c r="AR68" s="1137"/>
      <c r="AS68" s="1112"/>
      <c r="AT68" s="1112"/>
      <c r="AU68" s="1112"/>
      <c r="AV68" s="1112"/>
      <c r="AW68" s="1112"/>
      <c r="AX68" s="1112"/>
      <c r="AY68" s="1112"/>
      <c r="AZ68" s="1112"/>
      <c r="BA68" s="1138"/>
    </row>
    <row r="69" spans="1:54" ht="15" customHeight="1">
      <c r="A69" s="1134"/>
      <c r="B69" s="1122" t="s">
        <v>3920</v>
      </c>
      <c r="N69" s="1118"/>
      <c r="W69" s="1119"/>
      <c r="X69" s="1118"/>
      <c r="AG69" s="1119"/>
      <c r="AH69" s="1118"/>
      <c r="AQ69" s="1119"/>
      <c r="AR69" s="1118"/>
      <c r="BA69" s="1119"/>
    </row>
    <row r="70" spans="1:54" ht="3" customHeight="1">
      <c r="A70" s="1154"/>
      <c r="B70" s="1115"/>
      <c r="C70" s="1110"/>
      <c r="D70" s="1110"/>
      <c r="E70" s="1110"/>
      <c r="F70" s="1110"/>
      <c r="G70" s="1110"/>
      <c r="H70" s="1110"/>
      <c r="I70" s="1110"/>
      <c r="J70" s="1110"/>
      <c r="K70" s="1110"/>
      <c r="L70" s="1110"/>
      <c r="M70" s="1110"/>
      <c r="N70" s="1140"/>
      <c r="O70" s="1110"/>
      <c r="P70" s="1110"/>
      <c r="Q70" s="1110"/>
      <c r="R70" s="1110"/>
      <c r="S70" s="1110"/>
      <c r="T70" s="1110"/>
      <c r="U70" s="1110"/>
      <c r="V70" s="1110"/>
      <c r="W70" s="1141"/>
      <c r="X70" s="1140"/>
      <c r="Y70" s="1110"/>
      <c r="Z70" s="1110"/>
      <c r="AA70" s="1110"/>
      <c r="AB70" s="1110"/>
      <c r="AC70" s="1110"/>
      <c r="AD70" s="1110"/>
      <c r="AE70" s="1110"/>
      <c r="AF70" s="1110"/>
      <c r="AG70" s="1141"/>
      <c r="AH70" s="1140"/>
      <c r="AI70" s="1110"/>
      <c r="AJ70" s="1110"/>
      <c r="AK70" s="1110"/>
      <c r="AL70" s="1110"/>
      <c r="AM70" s="1110"/>
      <c r="AN70" s="1110"/>
      <c r="AO70" s="1110"/>
      <c r="AP70" s="1110"/>
      <c r="AQ70" s="1141"/>
      <c r="AR70" s="1140"/>
      <c r="AS70" s="1110"/>
      <c r="AT70" s="1110"/>
      <c r="AU70" s="1110"/>
      <c r="AV70" s="1110"/>
      <c r="AW70" s="1110"/>
      <c r="AX70" s="1110"/>
      <c r="AY70" s="1110"/>
      <c r="AZ70" s="1110"/>
      <c r="BA70" s="1141"/>
    </row>
    <row r="71" spans="1:54" ht="15" customHeight="1">
      <c r="A71" s="1118"/>
      <c r="E71" s="1122"/>
      <c r="N71" s="1118"/>
      <c r="W71" s="1119"/>
      <c r="X71" s="1118"/>
      <c r="AG71" s="1119"/>
      <c r="AH71" s="1153" t="s">
        <v>3981</v>
      </c>
      <c r="AQ71" s="1119"/>
      <c r="AR71" s="1118"/>
      <c r="BA71" s="1119"/>
    </row>
    <row r="72" spans="1:54" ht="15" customHeight="1">
      <c r="A72" s="1134"/>
      <c r="B72" s="1122" t="s">
        <v>3907</v>
      </c>
      <c r="N72" s="1134"/>
      <c r="O72" s="1122" t="s">
        <v>3941</v>
      </c>
      <c r="W72" s="1119"/>
      <c r="X72" s="1134"/>
      <c r="Y72" t="s">
        <v>3926</v>
      </c>
      <c r="Z72" s="1122"/>
      <c r="AG72" s="1119"/>
      <c r="AH72" s="1118"/>
      <c r="AI72" s="1125"/>
      <c r="AJ72" s="1122" t="s">
        <v>3998</v>
      </c>
      <c r="AQ72" s="1119"/>
      <c r="AR72" s="1118"/>
      <c r="BA72" s="1119"/>
      <c r="BB72" s="1167" t="s">
        <v>3999</v>
      </c>
    </row>
    <row r="73" spans="1:54" ht="15" customHeight="1">
      <c r="A73" s="1118"/>
      <c r="C73" s="1122"/>
      <c r="N73" s="1134"/>
      <c r="O73" s="1122" t="s">
        <v>3942</v>
      </c>
      <c r="W73" s="1119"/>
      <c r="X73" s="1134"/>
      <c r="Y73" s="1122" t="s">
        <v>3944</v>
      </c>
      <c r="AG73" s="1119"/>
      <c r="AH73" s="1118"/>
      <c r="AJ73" s="1155" t="s">
        <v>3982</v>
      </c>
      <c r="AQ73" s="1119"/>
      <c r="AR73" s="1118"/>
      <c r="BA73" s="1119"/>
    </row>
    <row r="74" spans="1:54" ht="15" customHeight="1">
      <c r="A74" s="1118"/>
      <c r="C74" s="1122"/>
      <c r="F74" s="1126"/>
      <c r="G74" s="1126"/>
      <c r="H74" s="1126"/>
      <c r="I74" s="1126"/>
      <c r="J74" s="1126"/>
      <c r="K74" s="1126"/>
      <c r="L74" s="1126"/>
      <c r="M74" s="1126"/>
      <c r="N74" s="1118"/>
      <c r="W74" s="1119"/>
      <c r="X74" s="1118"/>
      <c r="Y74" t="s">
        <v>3943</v>
      </c>
      <c r="AG74" s="1119"/>
      <c r="AH74" s="1118"/>
      <c r="AJ74" s="1139" t="s">
        <v>3937</v>
      </c>
      <c r="AQ74" s="1119"/>
      <c r="AR74" s="1118"/>
      <c r="BA74" s="1119"/>
    </row>
    <row r="75" spans="1:54" ht="15" customHeight="1">
      <c r="A75" s="1118"/>
      <c r="N75" s="1118"/>
      <c r="W75" s="1119"/>
      <c r="X75" s="1118"/>
      <c r="AG75" s="1119"/>
      <c r="AH75" s="1118"/>
      <c r="AK75" s="1139" t="s">
        <v>3946</v>
      </c>
      <c r="AQ75" s="1119"/>
      <c r="AR75" s="1118"/>
      <c r="BA75" s="1119"/>
    </row>
    <row r="76" spans="1:54" ht="3" customHeight="1" thickBot="1">
      <c r="A76" s="1103"/>
      <c r="B76" s="1104"/>
      <c r="C76" s="1104"/>
      <c r="D76" s="1104"/>
      <c r="E76" s="1104"/>
      <c r="F76" s="1120"/>
      <c r="G76" s="1104"/>
      <c r="H76" s="1104"/>
      <c r="I76" s="1104"/>
      <c r="J76" s="1104"/>
      <c r="K76" s="1104"/>
      <c r="L76" s="1104"/>
      <c r="M76" s="1104"/>
      <c r="N76" s="1103"/>
      <c r="O76" s="1104"/>
      <c r="P76" s="1104"/>
      <c r="Q76" s="1104"/>
      <c r="R76" s="1104"/>
      <c r="S76" s="1104"/>
      <c r="T76" s="1104"/>
      <c r="U76" s="1104"/>
      <c r="V76" s="1104"/>
      <c r="W76" s="1105"/>
      <c r="X76" s="1103"/>
      <c r="Y76" s="1104"/>
      <c r="Z76" s="1104"/>
      <c r="AA76" s="1104"/>
      <c r="AB76" s="1104"/>
      <c r="AC76" s="1104"/>
      <c r="AD76" s="1104"/>
      <c r="AE76" s="1104"/>
      <c r="AF76" s="1104"/>
      <c r="AG76" s="1105"/>
      <c r="AH76" s="1103"/>
      <c r="AI76" s="1104"/>
      <c r="AJ76" s="1104"/>
      <c r="AK76" s="1104"/>
      <c r="AL76" s="1104"/>
      <c r="AM76" s="1104"/>
      <c r="AN76" s="1104"/>
      <c r="AO76" s="1104"/>
      <c r="AP76" s="1104"/>
      <c r="AQ76" s="1105"/>
      <c r="AR76" s="1103"/>
      <c r="AS76" s="1104"/>
      <c r="AT76" s="1104"/>
      <c r="AU76" s="1104"/>
      <c r="AV76" s="1104"/>
      <c r="AW76" s="1104"/>
      <c r="AX76" s="1104"/>
      <c r="AY76" s="1104"/>
      <c r="AZ76" s="1104"/>
      <c r="BA76" s="1105"/>
    </row>
    <row r="77" spans="1:54" ht="24.95" customHeight="1" thickBot="1">
      <c r="A77" s="1271" t="s">
        <v>4019</v>
      </c>
      <c r="B77" s="1272"/>
      <c r="C77" s="1272"/>
      <c r="D77" s="1272"/>
      <c r="E77" s="1272"/>
      <c r="F77" s="1272"/>
      <c r="G77" s="1272"/>
      <c r="H77" s="1272"/>
      <c r="I77" s="1272"/>
      <c r="J77" s="1272"/>
      <c r="K77" s="1272"/>
      <c r="L77" s="1272"/>
      <c r="M77" s="1272"/>
      <c r="N77" s="1272"/>
      <c r="O77" s="1272"/>
      <c r="P77" s="1272"/>
      <c r="Q77" s="1272"/>
      <c r="R77" s="1272"/>
      <c r="S77" s="1272"/>
      <c r="T77" s="1272"/>
      <c r="U77" s="1272"/>
      <c r="V77" s="1272"/>
      <c r="W77" s="1272"/>
      <c r="X77" s="1272"/>
      <c r="Y77" s="1272"/>
      <c r="Z77" s="1272"/>
      <c r="AA77" s="1272"/>
      <c r="AB77" s="1272"/>
      <c r="AC77" s="1272"/>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3"/>
    </row>
    <row r="78" spans="1:54" ht="15" customHeight="1">
      <c r="A78" s="1151" t="s">
        <v>4012</v>
      </c>
      <c r="C78" s="1122"/>
      <c r="M78" s="1119"/>
      <c r="N78" s="1151" t="s">
        <v>4012</v>
      </c>
      <c r="W78" s="1119"/>
      <c r="X78" s="1151" t="s">
        <v>4012</v>
      </c>
      <c r="Y78" s="1122"/>
      <c r="AQ78" s="1224"/>
      <c r="AR78" s="1222"/>
      <c r="AS78" s="1222"/>
      <c r="AT78" s="1222"/>
      <c r="AU78" s="1222"/>
      <c r="AV78" s="1222"/>
      <c r="AW78" s="1222"/>
      <c r="AX78" s="1222"/>
      <c r="AY78" s="1222"/>
      <c r="AZ78" s="1222"/>
      <c r="BA78" s="1223"/>
    </row>
    <row r="79" spans="1:54" ht="20.100000000000001" customHeight="1">
      <c r="A79" s="1181" t="s">
        <v>4013</v>
      </c>
      <c r="B79" s="1122" t="s">
        <v>4008</v>
      </c>
      <c r="M79" s="1119"/>
      <c r="N79" s="1118"/>
      <c r="W79" s="1119"/>
      <c r="X79" s="1151"/>
      <c r="Y79" s="1122"/>
      <c r="AR79" s="1214"/>
      <c r="AS79" s="1214"/>
      <c r="AT79" s="1214"/>
      <c r="AU79" s="1214"/>
      <c r="AV79" s="1214"/>
      <c r="AW79" s="1214"/>
      <c r="AX79" s="1214"/>
      <c r="AY79" s="1214"/>
      <c r="AZ79" s="1214"/>
      <c r="BA79" s="1211"/>
    </row>
    <row r="80" spans="1:54" ht="20.100000000000001" customHeight="1">
      <c r="A80" s="1181" t="s">
        <v>4013</v>
      </c>
      <c r="B80" s="1238" t="s">
        <v>4009</v>
      </c>
      <c r="C80" s="1238"/>
      <c r="D80" s="1238"/>
      <c r="E80" s="1238"/>
      <c r="F80" s="1238"/>
      <c r="G80" s="1238"/>
      <c r="H80" s="1238"/>
      <c r="I80" s="1238"/>
      <c r="J80" s="1238"/>
      <c r="K80" s="1238"/>
      <c r="L80" s="1238"/>
      <c r="M80" s="1266"/>
      <c r="N80" s="1118"/>
      <c r="W80" s="1119"/>
      <c r="X80" s="1151"/>
      <c r="Y80" s="1122"/>
      <c r="AS80" s="1213"/>
      <c r="AT80" s="1213"/>
      <c r="AU80" s="1213"/>
      <c r="AV80" s="1213"/>
      <c r="AW80" s="1213"/>
      <c r="AX80" s="1213"/>
      <c r="AY80" s="1213"/>
      <c r="AZ80" s="1213"/>
      <c r="BA80" s="1204"/>
    </row>
    <row r="81" spans="1:75" ht="20.100000000000001" customHeight="1">
      <c r="A81" s="1181" t="s">
        <v>4013</v>
      </c>
      <c r="B81" s="1122" t="s">
        <v>4010</v>
      </c>
      <c r="M81" s="1119"/>
      <c r="N81" s="1118"/>
      <c r="W81" s="1119"/>
      <c r="X81" s="1151"/>
      <c r="Y81" s="1122"/>
      <c r="AR81" s="1213"/>
      <c r="AS81" s="1213"/>
      <c r="AT81" s="1213"/>
      <c r="AU81" s="1213"/>
      <c r="AV81" s="1213"/>
      <c r="AW81" s="1213"/>
      <c r="AX81" s="1213"/>
      <c r="AY81" s="1213"/>
      <c r="AZ81" s="1213"/>
      <c r="BA81" s="1204"/>
    </row>
    <row r="82" spans="1:75" ht="20.100000000000001" customHeight="1">
      <c r="A82" s="1118"/>
      <c r="C82" s="1129"/>
      <c r="D82" s="1129"/>
      <c r="M82" s="1119"/>
      <c r="N82" s="1118"/>
      <c r="W82" s="1119"/>
      <c r="X82" s="1151"/>
      <c r="Y82" s="1267" t="s">
        <v>4011</v>
      </c>
      <c r="Z82" s="1268"/>
      <c r="AA82" s="1268"/>
      <c r="AB82" s="1268"/>
      <c r="AC82" s="1268"/>
      <c r="AD82" s="1268"/>
      <c r="AE82" s="1268"/>
      <c r="AF82" s="1268"/>
      <c r="AG82" s="1268"/>
      <c r="AH82" s="1269"/>
      <c r="AR82" s="1213"/>
      <c r="AS82" s="1213"/>
      <c r="AT82" s="1213"/>
      <c r="AU82" s="1213"/>
      <c r="AV82" s="1213"/>
      <c r="AW82" s="1213"/>
      <c r="AX82" s="1213"/>
      <c r="AY82" s="1213"/>
      <c r="AZ82" s="1213"/>
      <c r="BA82" s="1204"/>
    </row>
    <row r="83" spans="1:75" ht="15" customHeight="1">
      <c r="A83" s="1151" t="s">
        <v>3919</v>
      </c>
      <c r="B83" s="1129"/>
      <c r="C83" s="1129"/>
      <c r="D83" s="1129"/>
      <c r="M83" s="1119"/>
      <c r="N83" s="1151" t="s">
        <v>3919</v>
      </c>
      <c r="W83" s="1119"/>
      <c r="X83" s="1151"/>
      <c r="Y83" s="1174" t="s">
        <v>3919</v>
      </c>
      <c r="Z83" s="1112"/>
      <c r="AA83" s="1112"/>
      <c r="AB83" s="1112"/>
      <c r="AC83" s="1112"/>
      <c r="AD83" s="1112"/>
      <c r="AE83" s="1112"/>
      <c r="AF83" s="1112"/>
      <c r="AG83" s="1112"/>
      <c r="AH83" s="1113"/>
      <c r="AR83" s="1213"/>
      <c r="AS83" s="1213"/>
      <c r="AT83" s="1213"/>
      <c r="AU83" s="1213"/>
      <c r="AV83" s="1213"/>
      <c r="AW83" s="1213"/>
      <c r="AX83" s="1213"/>
      <c r="AY83" s="1213"/>
      <c r="AZ83" s="1213"/>
      <c r="BA83" s="1204"/>
    </row>
    <row r="84" spans="1:75" ht="39.950000000000003" customHeight="1">
      <c r="A84" s="1118"/>
      <c r="B84" s="1176"/>
      <c r="C84" s="1270"/>
      <c r="D84" s="1270"/>
      <c r="E84" s="1270"/>
      <c r="F84" s="1270"/>
      <c r="G84" s="1270"/>
      <c r="H84" s="1270"/>
      <c r="I84" s="1270"/>
      <c r="J84" s="1270"/>
      <c r="K84" s="1270"/>
      <c r="L84" s="1270"/>
      <c r="M84" s="1136"/>
      <c r="N84" s="1118"/>
      <c r="O84" s="1106"/>
      <c r="P84" s="1265"/>
      <c r="Q84" s="1265"/>
      <c r="R84" s="1265"/>
      <c r="S84" s="1265"/>
      <c r="T84" s="1265"/>
      <c r="U84" s="1265"/>
      <c r="V84" s="1265"/>
      <c r="W84" s="1136"/>
      <c r="X84" s="1151"/>
      <c r="Y84" s="1109"/>
      <c r="Z84" s="1106"/>
      <c r="AA84" s="1265"/>
      <c r="AB84" s="1265"/>
      <c r="AC84" s="1265"/>
      <c r="AD84" s="1265"/>
      <c r="AE84" s="1265"/>
      <c r="AF84" s="1265"/>
      <c r="AG84" s="1265"/>
      <c r="AH84" s="1177"/>
      <c r="AQ84" s="1216"/>
      <c r="AT84" s="1215"/>
      <c r="AU84" s="1215"/>
      <c r="AV84" s="1215"/>
      <c r="AW84" s="1215"/>
      <c r="AX84" s="1215"/>
      <c r="AY84" s="1215"/>
      <c r="AZ84" s="1216"/>
      <c r="BA84" s="1205"/>
    </row>
    <row r="85" spans="1:75" ht="15" customHeight="1">
      <c r="A85" s="1151" t="s">
        <v>3909</v>
      </c>
      <c r="M85" s="1119"/>
      <c r="N85" s="1151" t="s">
        <v>3909</v>
      </c>
      <c r="W85" s="1119"/>
      <c r="X85" s="1151"/>
      <c r="Y85" s="1107" t="s">
        <v>3909</v>
      </c>
      <c r="AH85" s="1108"/>
      <c r="AR85" s="1217"/>
      <c r="AS85" s="1217"/>
      <c r="AT85" s="1217"/>
      <c r="AU85" s="1217"/>
      <c r="AV85" s="1217"/>
      <c r="AW85" s="1217"/>
      <c r="AX85" s="1217"/>
      <c r="AY85" s="1217"/>
      <c r="AZ85" s="1217"/>
      <c r="BA85" s="1212"/>
    </row>
    <row r="86" spans="1:75" ht="39.950000000000003" customHeight="1">
      <c r="A86" s="1118"/>
      <c r="B86" s="1106"/>
      <c r="C86" s="1265"/>
      <c r="D86" s="1265"/>
      <c r="E86" s="1265"/>
      <c r="F86" s="1265"/>
      <c r="G86" s="1265"/>
      <c r="H86" s="1265"/>
      <c r="I86" s="1265"/>
      <c r="J86" s="1265"/>
      <c r="K86" s="1265"/>
      <c r="L86" s="1265"/>
      <c r="M86" s="1136"/>
      <c r="N86" s="1118"/>
      <c r="O86" s="1106"/>
      <c r="P86" s="1265"/>
      <c r="Q86" s="1265"/>
      <c r="R86" s="1265"/>
      <c r="S86" s="1265"/>
      <c r="T86" s="1265"/>
      <c r="U86" s="1265"/>
      <c r="V86" s="1265"/>
      <c r="W86" s="1136"/>
      <c r="X86" s="1151"/>
      <c r="Y86" s="1109"/>
      <c r="Z86" s="1106"/>
      <c r="AA86" s="1265"/>
      <c r="AB86" s="1265"/>
      <c r="AC86" s="1265"/>
      <c r="AD86" s="1265"/>
      <c r="AE86" s="1265"/>
      <c r="AF86" s="1265"/>
      <c r="AG86" s="1265"/>
      <c r="AH86" s="1177"/>
      <c r="AI86" s="1122"/>
      <c r="AJ86" s="1122"/>
      <c r="AK86" s="1122"/>
      <c r="AL86" s="1122"/>
      <c r="AM86" s="1122"/>
      <c r="AN86" s="1122"/>
      <c r="AO86" s="1122"/>
      <c r="AP86" s="1122"/>
      <c r="AQ86" s="1122"/>
      <c r="AR86" s="1214"/>
      <c r="AS86" s="1214"/>
      <c r="AT86" s="1214"/>
      <c r="AU86" s="1214"/>
      <c r="AV86" s="1214"/>
      <c r="AW86" s="1214"/>
      <c r="AX86" s="1214"/>
      <c r="AY86" s="1214"/>
      <c r="AZ86" s="1214"/>
      <c r="BA86" s="1211"/>
    </row>
    <row r="87" spans="1:75" ht="15" customHeight="1">
      <c r="A87" s="1151" t="s">
        <v>3910</v>
      </c>
      <c r="M87" s="1119"/>
      <c r="N87" s="1151" t="s">
        <v>3910</v>
      </c>
      <c r="W87" s="1119"/>
      <c r="X87" s="1118"/>
      <c r="Y87" s="1107" t="s">
        <v>3910</v>
      </c>
      <c r="AH87" s="1108"/>
      <c r="BA87" s="1119"/>
    </row>
    <row r="88" spans="1:75" ht="39.950000000000003" customHeight="1">
      <c r="A88" s="1118"/>
      <c r="B88" s="1116" t="s">
        <v>3897</v>
      </c>
      <c r="C88" s="1265"/>
      <c r="D88" s="1265"/>
      <c r="E88" s="1265"/>
      <c r="F88" s="1265"/>
      <c r="G88" s="1265"/>
      <c r="H88" s="1265"/>
      <c r="I88" s="1265"/>
      <c r="J88" s="1265"/>
      <c r="K88" s="1265"/>
      <c r="L88" s="1265"/>
      <c r="M88" s="1135" t="s">
        <v>3898</v>
      </c>
      <c r="N88" s="1118"/>
      <c r="O88" s="1116" t="s">
        <v>3897</v>
      </c>
      <c r="P88" s="1265"/>
      <c r="Q88" s="1265"/>
      <c r="R88" s="1265"/>
      <c r="S88" s="1265"/>
      <c r="T88" s="1265"/>
      <c r="U88" s="1265"/>
      <c r="V88" s="1265"/>
      <c r="W88" s="1135" t="s">
        <v>3898</v>
      </c>
      <c r="X88" s="1118"/>
      <c r="Y88" s="1109"/>
      <c r="Z88" s="1116" t="s">
        <v>3897</v>
      </c>
      <c r="AA88" s="1265"/>
      <c r="AB88" s="1265"/>
      <c r="AC88" s="1265"/>
      <c r="AD88" s="1265"/>
      <c r="AE88" s="1265"/>
      <c r="AF88" s="1265"/>
      <c r="AG88" s="1265"/>
      <c r="AH88" s="1178" t="s">
        <v>3898</v>
      </c>
      <c r="AR88" s="1218"/>
      <c r="AS88" s="1218"/>
      <c r="AT88" s="1218"/>
      <c r="AU88" s="1218"/>
      <c r="AV88" s="1218"/>
      <c r="AW88" s="1218"/>
      <c r="AX88" s="1218"/>
      <c r="AY88" s="1218"/>
      <c r="AZ88" s="1218"/>
      <c r="BA88" s="1201"/>
    </row>
    <row r="89" spans="1:75" ht="15" customHeight="1">
      <c r="A89" s="1151" t="s">
        <v>3908</v>
      </c>
      <c r="M89" s="1119"/>
      <c r="N89" s="1151" t="s">
        <v>3908</v>
      </c>
      <c r="W89" s="1119"/>
      <c r="X89" s="1118"/>
      <c r="Y89" s="1107" t="s">
        <v>3908</v>
      </c>
      <c r="AH89" s="1108"/>
      <c r="AR89" s="1218"/>
      <c r="AS89" s="1218"/>
      <c r="AT89" s="1218"/>
      <c r="AU89" s="1218"/>
      <c r="AV89" s="1218"/>
      <c r="AW89" s="1218"/>
      <c r="AX89" s="1218"/>
      <c r="AY89" s="1218"/>
      <c r="AZ89" s="1218"/>
      <c r="BA89" s="1201"/>
    </row>
    <row r="90" spans="1:75" ht="39.950000000000003" customHeight="1">
      <c r="A90" s="1118"/>
      <c r="B90" s="1116" t="s">
        <v>3897</v>
      </c>
      <c r="C90" s="1265"/>
      <c r="D90" s="1265"/>
      <c r="E90" s="1265"/>
      <c r="F90" s="1265"/>
      <c r="G90" s="1265"/>
      <c r="H90" s="1265"/>
      <c r="I90" s="1265"/>
      <c r="J90" s="1265"/>
      <c r="K90" s="1265"/>
      <c r="L90" s="1265"/>
      <c r="M90" s="1135" t="s">
        <v>3898</v>
      </c>
      <c r="N90" s="1118"/>
      <c r="O90" s="1116" t="s">
        <v>3897</v>
      </c>
      <c r="P90" s="1265"/>
      <c r="Q90" s="1265"/>
      <c r="R90" s="1265"/>
      <c r="S90" s="1265"/>
      <c r="T90" s="1265"/>
      <c r="U90" s="1265"/>
      <c r="V90" s="1265"/>
      <c r="W90" s="1135" t="s">
        <v>3898</v>
      </c>
      <c r="X90" s="1118"/>
      <c r="Y90" s="1109"/>
      <c r="Z90" s="1116" t="s">
        <v>3897</v>
      </c>
      <c r="AA90" s="1265"/>
      <c r="AB90" s="1265"/>
      <c r="AC90" s="1265"/>
      <c r="AD90" s="1265"/>
      <c r="AE90" s="1265"/>
      <c r="AF90" s="1265"/>
      <c r="AG90" s="1265"/>
      <c r="AH90" s="1178" t="s">
        <v>3898</v>
      </c>
      <c r="AR90" s="1218"/>
      <c r="AS90" s="1218"/>
      <c r="AT90" s="1218"/>
      <c r="AU90" s="1218"/>
      <c r="AV90" s="1218"/>
      <c r="AW90" s="1218"/>
      <c r="AX90" s="1218"/>
      <c r="AY90" s="1218"/>
      <c r="AZ90" s="1218"/>
      <c r="BA90" s="1201"/>
    </row>
    <row r="91" spans="1:75" ht="15" customHeight="1" thickBot="1">
      <c r="A91" s="1103"/>
      <c r="B91" s="1104"/>
      <c r="C91" s="1104"/>
      <c r="D91" s="1104"/>
      <c r="E91" s="1104"/>
      <c r="F91" s="1104"/>
      <c r="G91" s="1104"/>
      <c r="H91" s="1104"/>
      <c r="I91" s="1104"/>
      <c r="J91" s="1104"/>
      <c r="K91" s="1104"/>
      <c r="L91" s="1104"/>
      <c r="M91" s="1105"/>
      <c r="N91" s="1103"/>
      <c r="O91" s="1104"/>
      <c r="P91" s="1104"/>
      <c r="Q91" s="1104"/>
      <c r="R91" s="1104"/>
      <c r="S91" s="1104"/>
      <c r="T91" s="1104"/>
      <c r="U91" s="1104"/>
      <c r="V91" s="1104"/>
      <c r="W91" s="1105"/>
      <c r="X91" s="1103"/>
      <c r="Y91" s="1179"/>
      <c r="Z91" s="1104"/>
      <c r="AA91" s="1104"/>
      <c r="AB91" s="1104"/>
      <c r="AC91" s="1104"/>
      <c r="AD91" s="1104"/>
      <c r="AE91" s="1104"/>
      <c r="AF91" s="1104"/>
      <c r="AG91" s="1104"/>
      <c r="AH91" s="1180"/>
      <c r="AI91" s="1104"/>
      <c r="AJ91" s="1104"/>
      <c r="AK91" s="1104"/>
      <c r="AL91" s="1104"/>
      <c r="AM91" s="1104"/>
      <c r="AN91" s="1104"/>
      <c r="AO91" s="1104"/>
      <c r="AP91" s="1104"/>
      <c r="AQ91" s="1104"/>
      <c r="AR91" s="1202"/>
      <c r="AS91" s="1202"/>
      <c r="AT91" s="1202"/>
      <c r="AU91" s="1202"/>
      <c r="AV91" s="1202"/>
      <c r="AW91" s="1202"/>
      <c r="AX91" s="1202"/>
      <c r="AY91" s="1202"/>
      <c r="AZ91" s="1202"/>
      <c r="BA91" s="1203"/>
    </row>
    <row r="92" spans="1:75" ht="15" customHeight="1">
      <c r="A92" s="1122"/>
      <c r="B92" s="1122"/>
      <c r="C92" s="1122"/>
      <c r="D92" s="1128"/>
      <c r="BB92"/>
      <c r="BW92" s="1123"/>
    </row>
    <row r="93" spans="1:75" ht="15" customHeight="1">
      <c r="BB93"/>
      <c r="BW93" s="1123"/>
    </row>
    <row r="94" spans="1:75" ht="15" customHeight="1">
      <c r="BB94"/>
      <c r="BW94" s="1123"/>
    </row>
    <row r="95" spans="1:75" ht="15" customHeight="1">
      <c r="BB95"/>
      <c r="BW95" s="1123"/>
    </row>
  </sheetData>
  <sheetProtection algorithmName="SHA-512" hashValue="uZ0PZZzLrTSxFuAU5jbukGXSiW174Od8aHCIzvFRbwdCdt1mRu0+NGNeZ8SAayLs95iVKEGoWO1Xlipbrd4i0Q==" saltValue="Gp00UVp6qBmo+QyaHBOVbg==" spinCount="100000" sheet="1" objects="1" scenarios="1"/>
  <mergeCells count="94">
    <mergeCell ref="U35:AI36"/>
    <mergeCell ref="AL35:AZ36"/>
    <mergeCell ref="D37:I37"/>
    <mergeCell ref="U37:Z37"/>
    <mergeCell ref="AL37:AQ37"/>
    <mergeCell ref="T40:BA44"/>
    <mergeCell ref="A46:BA46"/>
    <mergeCell ref="P48:V48"/>
    <mergeCell ref="Z48:AF48"/>
    <mergeCell ref="AJ48:AP48"/>
    <mergeCell ref="AT48:AZ48"/>
    <mergeCell ref="AK50:AP50"/>
    <mergeCell ref="AU50:AZ50"/>
    <mergeCell ref="AK29:AS30"/>
    <mergeCell ref="A14:C15"/>
    <mergeCell ref="A1:AI1"/>
    <mergeCell ref="AJ1:BA1"/>
    <mergeCell ref="J24:K27"/>
    <mergeCell ref="AL25:AQ25"/>
    <mergeCell ref="AR25:BA25"/>
    <mergeCell ref="AK28:AS28"/>
    <mergeCell ref="AT28:AZ28"/>
    <mergeCell ref="AN13:AT13"/>
    <mergeCell ref="AU14:BA15"/>
    <mergeCell ref="AB18:AM19"/>
    <mergeCell ref="AN18:AT19"/>
    <mergeCell ref="A3:C4"/>
    <mergeCell ref="C90:L90"/>
    <mergeCell ref="P90:V90"/>
    <mergeCell ref="AA90:AG90"/>
    <mergeCell ref="AL31:BA31"/>
    <mergeCell ref="D35:R36"/>
    <mergeCell ref="AK51:AP51"/>
    <mergeCell ref="AU51:AZ51"/>
    <mergeCell ref="F52:L52"/>
    <mergeCell ref="C49:J49"/>
    <mergeCell ref="P49:W49"/>
    <mergeCell ref="Z49:AG49"/>
    <mergeCell ref="AJ49:AQ49"/>
    <mergeCell ref="AT49:BA49"/>
    <mergeCell ref="E50:L50"/>
    <mergeCell ref="Q50:V50"/>
    <mergeCell ref="AA50:AF50"/>
    <mergeCell ref="Z65:AF65"/>
    <mergeCell ref="C88:L88"/>
    <mergeCell ref="P88:V88"/>
    <mergeCell ref="AA88:AG88"/>
    <mergeCell ref="C86:L86"/>
    <mergeCell ref="P86:V86"/>
    <mergeCell ref="AA86:AG86"/>
    <mergeCell ref="B80:M80"/>
    <mergeCell ref="Y82:AH82"/>
    <mergeCell ref="C84:L84"/>
    <mergeCell ref="P84:V84"/>
    <mergeCell ref="AA84:AG84"/>
    <mergeCell ref="A77:BA77"/>
    <mergeCell ref="AA66:AB66"/>
    <mergeCell ref="B66:L66"/>
    <mergeCell ref="AA51:AF51"/>
    <mergeCell ref="F53:L53"/>
    <mergeCell ref="F54:L54"/>
    <mergeCell ref="Z59:AF59"/>
    <mergeCell ref="AA64:AB64"/>
    <mergeCell ref="E51:L51"/>
    <mergeCell ref="Q51:V51"/>
    <mergeCell ref="AB4:BA4"/>
    <mergeCell ref="T4:X4"/>
    <mergeCell ref="AU18:BA19"/>
    <mergeCell ref="AB13:AM13"/>
    <mergeCell ref="AB14:AM15"/>
    <mergeCell ref="V13:AA13"/>
    <mergeCell ref="V14:AA15"/>
    <mergeCell ref="K13:U13"/>
    <mergeCell ref="K14:U15"/>
    <mergeCell ref="A6:BA6"/>
    <mergeCell ref="AN14:AT15"/>
    <mergeCell ref="AQ9:AU9"/>
    <mergeCell ref="AV9:BA9"/>
    <mergeCell ref="B9:I9"/>
    <mergeCell ref="Y3:AA4"/>
    <mergeCell ref="D3:H4"/>
    <mergeCell ref="AT29:AZ30"/>
    <mergeCell ref="L9:AO9"/>
    <mergeCell ref="B11:U11"/>
    <mergeCell ref="X11:BA11"/>
    <mergeCell ref="AU13:BA13"/>
    <mergeCell ref="K17:U17"/>
    <mergeCell ref="V17:AA17"/>
    <mergeCell ref="AB17:AM17"/>
    <mergeCell ref="AN17:AT17"/>
    <mergeCell ref="AU17:BA17"/>
    <mergeCell ref="A18:C19"/>
    <mergeCell ref="K18:U19"/>
    <mergeCell ref="V18:AA19"/>
  </mergeCells>
  <phoneticPr fontId="139"/>
  <dataValidations count="1">
    <dataValidation type="date" operator="greaterThanOrEqual" allowBlank="1" showInputMessage="1" showErrorMessage="1" sqref="B9 AQ9" xr:uid="{F606C6A5-CB8E-48D9-A5F1-77C609BAAAC8}">
      <formula1>45658</formula1>
    </dataValidation>
  </dataValidations>
  <hyperlinks>
    <hyperlink ref="T4" r:id="rId1" xr:uid="{45B2F3F3-1737-4985-810E-00B7C09265CF}"/>
  </hyperlinks>
  <printOptions horizontalCentered="1" verticalCentered="1"/>
  <pageMargins left="0.39370078740157483" right="0.19685039370078741" top="0.39370078740157483" bottom="0.39370078740157483" header="0.31496062992125984" footer="0.31496062992125984"/>
  <pageSetup paperSize="9" scale="55" orientation="portrait"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4257" r:id="rId5" name="Check Box 1">
              <controlPr defaultSize="0" autoFill="0" autoLine="0" autoPict="0">
                <anchor moveWithCells="1">
                  <from>
                    <xdr:col>3</xdr:col>
                    <xdr:colOff>0</xdr:colOff>
                    <xdr:row>12</xdr:row>
                    <xdr:rowOff>161925</xdr:rowOff>
                  </from>
                  <to>
                    <xdr:col>4</xdr:col>
                    <xdr:colOff>76200</xdr:colOff>
                    <xdr:row>14</xdr:row>
                    <xdr:rowOff>38100</xdr:rowOff>
                  </to>
                </anchor>
              </controlPr>
            </control>
          </mc:Choice>
        </mc:AlternateContent>
        <mc:AlternateContent xmlns:mc="http://schemas.openxmlformats.org/markup-compatibility/2006">
          <mc:Choice Requires="x14">
            <control shapeId="224258" r:id="rId6" name="Check Box 2">
              <controlPr defaultSize="0" autoFill="0" autoLine="0" autoPict="0">
                <anchor moveWithCells="1">
                  <from>
                    <xdr:col>3</xdr:col>
                    <xdr:colOff>0</xdr:colOff>
                    <xdr:row>13</xdr:row>
                    <xdr:rowOff>152400</xdr:rowOff>
                  </from>
                  <to>
                    <xdr:col>4</xdr:col>
                    <xdr:colOff>76200</xdr:colOff>
                    <xdr:row>16</xdr:row>
                    <xdr:rowOff>0</xdr:rowOff>
                  </to>
                </anchor>
              </controlPr>
            </control>
          </mc:Choice>
        </mc:AlternateContent>
        <mc:AlternateContent xmlns:mc="http://schemas.openxmlformats.org/markup-compatibility/2006">
          <mc:Choice Requires="x14">
            <control shapeId="224259" r:id="rId7" name="Check Box 3">
              <controlPr defaultSize="0" autoFill="0" autoLine="0" autoPict="0">
                <anchor moveWithCells="1">
                  <from>
                    <xdr:col>0</xdr:col>
                    <xdr:colOff>228600</xdr:colOff>
                    <xdr:row>20</xdr:row>
                    <xdr:rowOff>152400</xdr:rowOff>
                  </from>
                  <to>
                    <xdr:col>2</xdr:col>
                    <xdr:colOff>57150</xdr:colOff>
                    <xdr:row>22</xdr:row>
                    <xdr:rowOff>28575</xdr:rowOff>
                  </to>
                </anchor>
              </controlPr>
            </control>
          </mc:Choice>
        </mc:AlternateContent>
        <mc:AlternateContent xmlns:mc="http://schemas.openxmlformats.org/markup-compatibility/2006">
          <mc:Choice Requires="x14">
            <control shapeId="224260" r:id="rId8" name="Check Box 4">
              <controlPr defaultSize="0" autoFill="0" autoLine="0" autoPict="0">
                <anchor moveWithCells="1">
                  <from>
                    <xdr:col>0</xdr:col>
                    <xdr:colOff>228600</xdr:colOff>
                    <xdr:row>21</xdr:row>
                    <xdr:rowOff>142875</xdr:rowOff>
                  </from>
                  <to>
                    <xdr:col>2</xdr:col>
                    <xdr:colOff>57150</xdr:colOff>
                    <xdr:row>23</xdr:row>
                    <xdr:rowOff>19050</xdr:rowOff>
                  </to>
                </anchor>
              </controlPr>
            </control>
          </mc:Choice>
        </mc:AlternateContent>
        <mc:AlternateContent xmlns:mc="http://schemas.openxmlformats.org/markup-compatibility/2006">
          <mc:Choice Requires="x14">
            <control shapeId="224261" r:id="rId9" name="Check Box 5">
              <controlPr defaultSize="0" autoFill="0" autoLine="0" autoPict="0">
                <anchor moveWithCells="1">
                  <from>
                    <xdr:col>8</xdr:col>
                    <xdr:colOff>9525</xdr:colOff>
                    <xdr:row>20</xdr:row>
                    <xdr:rowOff>142875</xdr:rowOff>
                  </from>
                  <to>
                    <xdr:col>9</xdr:col>
                    <xdr:colOff>76200</xdr:colOff>
                    <xdr:row>22</xdr:row>
                    <xdr:rowOff>19050</xdr:rowOff>
                  </to>
                </anchor>
              </controlPr>
            </control>
          </mc:Choice>
        </mc:AlternateContent>
        <mc:AlternateContent xmlns:mc="http://schemas.openxmlformats.org/markup-compatibility/2006">
          <mc:Choice Requires="x14">
            <control shapeId="224262" r:id="rId10" name="Check Box 6">
              <controlPr defaultSize="0" autoFill="0" autoLine="0" autoPict="0">
                <anchor moveWithCells="1">
                  <from>
                    <xdr:col>8</xdr:col>
                    <xdr:colOff>9525</xdr:colOff>
                    <xdr:row>21</xdr:row>
                    <xdr:rowOff>142875</xdr:rowOff>
                  </from>
                  <to>
                    <xdr:col>9</xdr:col>
                    <xdr:colOff>76200</xdr:colOff>
                    <xdr:row>23</xdr:row>
                    <xdr:rowOff>19050</xdr:rowOff>
                  </to>
                </anchor>
              </controlPr>
            </control>
          </mc:Choice>
        </mc:AlternateContent>
        <mc:AlternateContent xmlns:mc="http://schemas.openxmlformats.org/markup-compatibility/2006">
          <mc:Choice Requires="x14">
            <control shapeId="224263" r:id="rId11" name="Check Box 7">
              <controlPr defaultSize="0" autoFill="0" autoLine="0" autoPict="0">
                <anchor moveWithCells="1">
                  <from>
                    <xdr:col>11</xdr:col>
                    <xdr:colOff>0</xdr:colOff>
                    <xdr:row>22</xdr:row>
                    <xdr:rowOff>161925</xdr:rowOff>
                  </from>
                  <to>
                    <xdr:col>12</xdr:col>
                    <xdr:colOff>66675</xdr:colOff>
                    <xdr:row>24</xdr:row>
                    <xdr:rowOff>38100</xdr:rowOff>
                  </to>
                </anchor>
              </controlPr>
            </control>
          </mc:Choice>
        </mc:AlternateContent>
        <mc:AlternateContent xmlns:mc="http://schemas.openxmlformats.org/markup-compatibility/2006">
          <mc:Choice Requires="x14">
            <control shapeId="224264" r:id="rId12" name="Check Box 8">
              <controlPr defaultSize="0" autoFill="0" autoLine="0" autoPict="0">
                <anchor moveWithCells="1">
                  <from>
                    <xdr:col>11</xdr:col>
                    <xdr:colOff>9525</xdr:colOff>
                    <xdr:row>23</xdr:row>
                    <xdr:rowOff>152400</xdr:rowOff>
                  </from>
                  <to>
                    <xdr:col>12</xdr:col>
                    <xdr:colOff>76200</xdr:colOff>
                    <xdr:row>25</xdr:row>
                    <xdr:rowOff>28575</xdr:rowOff>
                  </to>
                </anchor>
              </controlPr>
            </control>
          </mc:Choice>
        </mc:AlternateContent>
        <mc:AlternateContent xmlns:mc="http://schemas.openxmlformats.org/markup-compatibility/2006">
          <mc:Choice Requires="x14">
            <control shapeId="224265" r:id="rId13" name="Check Box 9">
              <controlPr defaultSize="0" autoFill="0" autoLine="0" autoPict="0">
                <anchor moveWithCells="1">
                  <from>
                    <xdr:col>19</xdr:col>
                    <xdr:colOff>0</xdr:colOff>
                    <xdr:row>23</xdr:row>
                    <xdr:rowOff>161925</xdr:rowOff>
                  </from>
                  <to>
                    <xdr:col>20</xdr:col>
                    <xdr:colOff>66675</xdr:colOff>
                    <xdr:row>25</xdr:row>
                    <xdr:rowOff>38100</xdr:rowOff>
                  </to>
                </anchor>
              </controlPr>
            </control>
          </mc:Choice>
        </mc:AlternateContent>
        <mc:AlternateContent xmlns:mc="http://schemas.openxmlformats.org/markup-compatibility/2006">
          <mc:Choice Requires="x14">
            <control shapeId="224266" r:id="rId14" name="Check Box 10">
              <controlPr defaultSize="0" autoFill="0" autoLine="0" autoPict="0">
                <anchor moveWithCells="1">
                  <from>
                    <xdr:col>27</xdr:col>
                    <xdr:colOff>9525</xdr:colOff>
                    <xdr:row>22</xdr:row>
                    <xdr:rowOff>152400</xdr:rowOff>
                  </from>
                  <to>
                    <xdr:col>28</xdr:col>
                    <xdr:colOff>76200</xdr:colOff>
                    <xdr:row>24</xdr:row>
                    <xdr:rowOff>28575</xdr:rowOff>
                  </to>
                </anchor>
              </controlPr>
            </control>
          </mc:Choice>
        </mc:AlternateContent>
        <mc:AlternateContent xmlns:mc="http://schemas.openxmlformats.org/markup-compatibility/2006">
          <mc:Choice Requires="x14">
            <control shapeId="224267" r:id="rId15" name="Check Box 11">
              <controlPr defaultSize="0" autoFill="0" autoLine="0" autoPict="0">
                <anchor moveWithCells="1">
                  <from>
                    <xdr:col>27</xdr:col>
                    <xdr:colOff>9525</xdr:colOff>
                    <xdr:row>23</xdr:row>
                    <xdr:rowOff>161925</xdr:rowOff>
                  </from>
                  <to>
                    <xdr:col>28</xdr:col>
                    <xdr:colOff>76200</xdr:colOff>
                    <xdr:row>25</xdr:row>
                    <xdr:rowOff>38100</xdr:rowOff>
                  </to>
                </anchor>
              </controlPr>
            </control>
          </mc:Choice>
        </mc:AlternateContent>
        <mc:AlternateContent xmlns:mc="http://schemas.openxmlformats.org/markup-compatibility/2006">
          <mc:Choice Requires="x14">
            <control shapeId="224268" r:id="rId16" name="Check Box 12">
              <controlPr defaultSize="0" autoFill="0" autoLine="0" autoPict="0">
                <anchor moveWithCells="1">
                  <from>
                    <xdr:col>11</xdr:col>
                    <xdr:colOff>9525</xdr:colOff>
                    <xdr:row>25</xdr:row>
                    <xdr:rowOff>142875</xdr:rowOff>
                  </from>
                  <to>
                    <xdr:col>12</xdr:col>
                    <xdr:colOff>76200</xdr:colOff>
                    <xdr:row>27</xdr:row>
                    <xdr:rowOff>19050</xdr:rowOff>
                  </to>
                </anchor>
              </controlPr>
            </control>
          </mc:Choice>
        </mc:AlternateContent>
        <mc:AlternateContent xmlns:mc="http://schemas.openxmlformats.org/markup-compatibility/2006">
          <mc:Choice Requires="x14">
            <control shapeId="224269" r:id="rId17" name="Check Box 13">
              <controlPr defaultSize="0" autoFill="0" autoLine="0" autoPict="0">
                <anchor moveWithCells="1">
                  <from>
                    <xdr:col>1</xdr:col>
                    <xdr:colOff>0</xdr:colOff>
                    <xdr:row>26</xdr:row>
                    <xdr:rowOff>161925</xdr:rowOff>
                  </from>
                  <to>
                    <xdr:col>2</xdr:col>
                    <xdr:colOff>66675</xdr:colOff>
                    <xdr:row>28</xdr:row>
                    <xdr:rowOff>38100</xdr:rowOff>
                  </to>
                </anchor>
              </controlPr>
            </control>
          </mc:Choice>
        </mc:AlternateContent>
        <mc:AlternateContent xmlns:mc="http://schemas.openxmlformats.org/markup-compatibility/2006">
          <mc:Choice Requires="x14">
            <control shapeId="224270" r:id="rId18" name="Check Box 14">
              <controlPr defaultSize="0" autoFill="0" autoLine="0" autoPict="0">
                <anchor moveWithCells="1">
                  <from>
                    <xdr:col>1</xdr:col>
                    <xdr:colOff>0</xdr:colOff>
                    <xdr:row>27</xdr:row>
                    <xdr:rowOff>152400</xdr:rowOff>
                  </from>
                  <to>
                    <xdr:col>2</xdr:col>
                    <xdr:colOff>66675</xdr:colOff>
                    <xdr:row>29</xdr:row>
                    <xdr:rowOff>28575</xdr:rowOff>
                  </to>
                </anchor>
              </controlPr>
            </control>
          </mc:Choice>
        </mc:AlternateContent>
        <mc:AlternateContent xmlns:mc="http://schemas.openxmlformats.org/markup-compatibility/2006">
          <mc:Choice Requires="x14">
            <control shapeId="224271" r:id="rId19" name="Check Box 15">
              <controlPr defaultSize="0" autoFill="0" autoLine="0" autoPict="0">
                <anchor moveWithCells="1">
                  <from>
                    <xdr:col>1</xdr:col>
                    <xdr:colOff>0</xdr:colOff>
                    <xdr:row>31</xdr:row>
                    <xdr:rowOff>152400</xdr:rowOff>
                  </from>
                  <to>
                    <xdr:col>2</xdr:col>
                    <xdr:colOff>66675</xdr:colOff>
                    <xdr:row>33</xdr:row>
                    <xdr:rowOff>28575</xdr:rowOff>
                  </to>
                </anchor>
              </controlPr>
            </control>
          </mc:Choice>
        </mc:AlternateContent>
        <mc:AlternateContent xmlns:mc="http://schemas.openxmlformats.org/markup-compatibility/2006">
          <mc:Choice Requires="x14">
            <control shapeId="224272" r:id="rId20" name="Check Box 16">
              <controlPr defaultSize="0" autoFill="0" autoLine="0" autoPict="0">
                <anchor moveWithCells="1">
                  <from>
                    <xdr:col>1</xdr:col>
                    <xdr:colOff>0</xdr:colOff>
                    <xdr:row>30</xdr:row>
                    <xdr:rowOff>152400</xdr:rowOff>
                  </from>
                  <to>
                    <xdr:col>2</xdr:col>
                    <xdr:colOff>66675</xdr:colOff>
                    <xdr:row>32</xdr:row>
                    <xdr:rowOff>28575</xdr:rowOff>
                  </to>
                </anchor>
              </controlPr>
            </control>
          </mc:Choice>
        </mc:AlternateContent>
        <mc:AlternateContent xmlns:mc="http://schemas.openxmlformats.org/markup-compatibility/2006">
          <mc:Choice Requires="x14">
            <control shapeId="224273" r:id="rId21" name="Check Box 17">
              <controlPr defaultSize="0" autoFill="0" autoLine="0" autoPict="0">
                <anchor moveWithCells="1">
                  <from>
                    <xdr:col>2</xdr:col>
                    <xdr:colOff>0</xdr:colOff>
                    <xdr:row>32</xdr:row>
                    <xdr:rowOff>152400</xdr:rowOff>
                  </from>
                  <to>
                    <xdr:col>3</xdr:col>
                    <xdr:colOff>66675</xdr:colOff>
                    <xdr:row>34</xdr:row>
                    <xdr:rowOff>28575</xdr:rowOff>
                  </to>
                </anchor>
              </controlPr>
            </control>
          </mc:Choice>
        </mc:AlternateContent>
        <mc:AlternateContent xmlns:mc="http://schemas.openxmlformats.org/markup-compatibility/2006">
          <mc:Choice Requires="x14">
            <control shapeId="224274" r:id="rId22" name="Check Box 18">
              <controlPr defaultSize="0" autoFill="0" autoLine="0" autoPict="0">
                <anchor moveWithCells="1">
                  <from>
                    <xdr:col>19</xdr:col>
                    <xdr:colOff>0</xdr:colOff>
                    <xdr:row>32</xdr:row>
                    <xdr:rowOff>152400</xdr:rowOff>
                  </from>
                  <to>
                    <xdr:col>20</xdr:col>
                    <xdr:colOff>66675</xdr:colOff>
                    <xdr:row>34</xdr:row>
                    <xdr:rowOff>28575</xdr:rowOff>
                  </to>
                </anchor>
              </controlPr>
            </control>
          </mc:Choice>
        </mc:AlternateContent>
        <mc:AlternateContent xmlns:mc="http://schemas.openxmlformats.org/markup-compatibility/2006">
          <mc:Choice Requires="x14">
            <control shapeId="224275" r:id="rId23" name="Check Box 19">
              <controlPr defaultSize="0" autoFill="0" autoLine="0" autoPict="0">
                <anchor moveWithCells="1">
                  <from>
                    <xdr:col>36</xdr:col>
                    <xdr:colOff>0</xdr:colOff>
                    <xdr:row>32</xdr:row>
                    <xdr:rowOff>152400</xdr:rowOff>
                  </from>
                  <to>
                    <xdr:col>37</xdr:col>
                    <xdr:colOff>66675</xdr:colOff>
                    <xdr:row>34</xdr:row>
                    <xdr:rowOff>28575</xdr:rowOff>
                  </to>
                </anchor>
              </controlPr>
            </control>
          </mc:Choice>
        </mc:AlternateContent>
        <mc:AlternateContent xmlns:mc="http://schemas.openxmlformats.org/markup-compatibility/2006">
          <mc:Choice Requires="x14">
            <control shapeId="224276" r:id="rId24" name="Check Box 20">
              <controlPr defaultSize="0" autoFill="0" autoLine="0" autoPict="0">
                <anchor moveWithCells="1">
                  <from>
                    <xdr:col>36</xdr:col>
                    <xdr:colOff>0</xdr:colOff>
                    <xdr:row>29</xdr:row>
                    <xdr:rowOff>152400</xdr:rowOff>
                  </from>
                  <to>
                    <xdr:col>37</xdr:col>
                    <xdr:colOff>66675</xdr:colOff>
                    <xdr:row>31</xdr:row>
                    <xdr:rowOff>28575</xdr:rowOff>
                  </to>
                </anchor>
              </controlPr>
            </control>
          </mc:Choice>
        </mc:AlternateContent>
        <mc:AlternateContent xmlns:mc="http://schemas.openxmlformats.org/markup-compatibility/2006">
          <mc:Choice Requires="x14">
            <control shapeId="224277" r:id="rId25" name="Check Box 21">
              <controlPr defaultSize="0" autoFill="0" autoLine="0" autoPict="0">
                <anchor moveWithCells="1">
                  <from>
                    <xdr:col>36</xdr:col>
                    <xdr:colOff>0</xdr:colOff>
                    <xdr:row>22</xdr:row>
                    <xdr:rowOff>152400</xdr:rowOff>
                  </from>
                  <to>
                    <xdr:col>37</xdr:col>
                    <xdr:colOff>66675</xdr:colOff>
                    <xdr:row>24</xdr:row>
                    <xdr:rowOff>28575</xdr:rowOff>
                  </to>
                </anchor>
              </controlPr>
            </control>
          </mc:Choice>
        </mc:AlternateContent>
        <mc:AlternateContent xmlns:mc="http://schemas.openxmlformats.org/markup-compatibility/2006">
          <mc:Choice Requires="x14">
            <control shapeId="224278" r:id="rId26" name="Check Box 22">
              <controlPr defaultSize="0" autoFill="0" autoLine="0" autoPict="0">
                <anchor moveWithCells="1">
                  <from>
                    <xdr:col>37</xdr:col>
                    <xdr:colOff>0</xdr:colOff>
                    <xdr:row>25</xdr:row>
                    <xdr:rowOff>152400</xdr:rowOff>
                  </from>
                  <to>
                    <xdr:col>38</xdr:col>
                    <xdr:colOff>66675</xdr:colOff>
                    <xdr:row>27</xdr:row>
                    <xdr:rowOff>28575</xdr:rowOff>
                  </to>
                </anchor>
              </controlPr>
            </control>
          </mc:Choice>
        </mc:AlternateContent>
        <mc:AlternateContent xmlns:mc="http://schemas.openxmlformats.org/markup-compatibility/2006">
          <mc:Choice Requires="x14">
            <control shapeId="224279" r:id="rId27" name="Check Box 23">
              <controlPr defaultSize="0" autoFill="0" autoLine="0" autoPict="0">
                <anchor moveWithCells="1">
                  <from>
                    <xdr:col>40</xdr:col>
                    <xdr:colOff>0</xdr:colOff>
                    <xdr:row>25</xdr:row>
                    <xdr:rowOff>152400</xdr:rowOff>
                  </from>
                  <to>
                    <xdr:col>41</xdr:col>
                    <xdr:colOff>66675</xdr:colOff>
                    <xdr:row>27</xdr:row>
                    <xdr:rowOff>28575</xdr:rowOff>
                  </to>
                </anchor>
              </controlPr>
            </control>
          </mc:Choice>
        </mc:AlternateContent>
        <mc:AlternateContent xmlns:mc="http://schemas.openxmlformats.org/markup-compatibility/2006">
          <mc:Choice Requires="x14">
            <control shapeId="224280" r:id="rId28" name="Check Box 24">
              <controlPr defaultSize="0" autoFill="0" autoLine="0" autoPict="0">
                <anchor moveWithCells="1">
                  <from>
                    <xdr:col>43</xdr:col>
                    <xdr:colOff>0</xdr:colOff>
                    <xdr:row>25</xdr:row>
                    <xdr:rowOff>152400</xdr:rowOff>
                  </from>
                  <to>
                    <xdr:col>44</xdr:col>
                    <xdr:colOff>66675</xdr:colOff>
                    <xdr:row>27</xdr:row>
                    <xdr:rowOff>28575</xdr:rowOff>
                  </to>
                </anchor>
              </controlPr>
            </control>
          </mc:Choice>
        </mc:AlternateContent>
        <mc:AlternateContent xmlns:mc="http://schemas.openxmlformats.org/markup-compatibility/2006">
          <mc:Choice Requires="x14">
            <control shapeId="224281" r:id="rId29" name="Check Box 25">
              <controlPr defaultSize="0" autoFill="0" autoLine="0" autoPict="0">
                <anchor moveWithCells="1">
                  <from>
                    <xdr:col>46</xdr:col>
                    <xdr:colOff>0</xdr:colOff>
                    <xdr:row>25</xdr:row>
                    <xdr:rowOff>152400</xdr:rowOff>
                  </from>
                  <to>
                    <xdr:col>47</xdr:col>
                    <xdr:colOff>66675</xdr:colOff>
                    <xdr:row>27</xdr:row>
                    <xdr:rowOff>28575</xdr:rowOff>
                  </to>
                </anchor>
              </controlPr>
            </control>
          </mc:Choice>
        </mc:AlternateContent>
        <mc:AlternateContent xmlns:mc="http://schemas.openxmlformats.org/markup-compatibility/2006">
          <mc:Choice Requires="x14">
            <control shapeId="224282" r:id="rId30" name="Check Box 26">
              <controlPr defaultSize="0" autoFill="0" autoLine="0" autoPict="0">
                <anchor moveWithCells="1">
                  <from>
                    <xdr:col>44</xdr:col>
                    <xdr:colOff>0</xdr:colOff>
                    <xdr:row>55</xdr:row>
                    <xdr:rowOff>152400</xdr:rowOff>
                  </from>
                  <to>
                    <xdr:col>45</xdr:col>
                    <xdr:colOff>66675</xdr:colOff>
                    <xdr:row>57</xdr:row>
                    <xdr:rowOff>28575</xdr:rowOff>
                  </to>
                </anchor>
              </controlPr>
            </control>
          </mc:Choice>
        </mc:AlternateContent>
        <mc:AlternateContent xmlns:mc="http://schemas.openxmlformats.org/markup-compatibility/2006">
          <mc:Choice Requires="x14">
            <control shapeId="224283" r:id="rId31" name="Check Box 27">
              <controlPr defaultSize="0" autoFill="0" autoLine="0" autoPict="0">
                <anchor moveWithCells="1">
                  <from>
                    <xdr:col>34</xdr:col>
                    <xdr:colOff>0</xdr:colOff>
                    <xdr:row>55</xdr:row>
                    <xdr:rowOff>152400</xdr:rowOff>
                  </from>
                  <to>
                    <xdr:col>35</xdr:col>
                    <xdr:colOff>66675</xdr:colOff>
                    <xdr:row>57</xdr:row>
                    <xdr:rowOff>28575</xdr:rowOff>
                  </to>
                </anchor>
              </controlPr>
            </control>
          </mc:Choice>
        </mc:AlternateContent>
        <mc:AlternateContent xmlns:mc="http://schemas.openxmlformats.org/markup-compatibility/2006">
          <mc:Choice Requires="x14">
            <control shapeId="224284" r:id="rId32" name="Check Box 28">
              <controlPr defaultSize="0" autoFill="0" autoLine="0" autoPict="0">
                <anchor moveWithCells="1">
                  <from>
                    <xdr:col>23</xdr:col>
                    <xdr:colOff>0</xdr:colOff>
                    <xdr:row>54</xdr:row>
                    <xdr:rowOff>276225</xdr:rowOff>
                  </from>
                  <to>
                    <xdr:col>24</xdr:col>
                    <xdr:colOff>66675</xdr:colOff>
                    <xdr:row>56</xdr:row>
                    <xdr:rowOff>28575</xdr:rowOff>
                  </to>
                </anchor>
              </controlPr>
            </control>
          </mc:Choice>
        </mc:AlternateContent>
        <mc:AlternateContent xmlns:mc="http://schemas.openxmlformats.org/markup-compatibility/2006">
          <mc:Choice Requires="x14">
            <control shapeId="224285" r:id="rId33" name="Check Box 29">
              <controlPr defaultSize="0" autoFill="0" autoLine="0" autoPict="0">
                <anchor moveWithCells="1">
                  <from>
                    <xdr:col>24</xdr:col>
                    <xdr:colOff>0</xdr:colOff>
                    <xdr:row>55</xdr:row>
                    <xdr:rowOff>152400</xdr:rowOff>
                  </from>
                  <to>
                    <xdr:col>25</xdr:col>
                    <xdr:colOff>66675</xdr:colOff>
                    <xdr:row>57</xdr:row>
                    <xdr:rowOff>28575</xdr:rowOff>
                  </to>
                </anchor>
              </controlPr>
            </control>
          </mc:Choice>
        </mc:AlternateContent>
        <mc:AlternateContent xmlns:mc="http://schemas.openxmlformats.org/markup-compatibility/2006">
          <mc:Choice Requires="x14">
            <control shapeId="224286" r:id="rId34" name="Check Box 30">
              <controlPr defaultSize="0" autoFill="0" autoLine="0" autoPict="0">
                <anchor moveWithCells="1">
                  <from>
                    <xdr:col>23</xdr:col>
                    <xdr:colOff>0</xdr:colOff>
                    <xdr:row>59</xdr:row>
                    <xdr:rowOff>152400</xdr:rowOff>
                  </from>
                  <to>
                    <xdr:col>24</xdr:col>
                    <xdr:colOff>66675</xdr:colOff>
                    <xdr:row>61</xdr:row>
                    <xdr:rowOff>28575</xdr:rowOff>
                  </to>
                </anchor>
              </controlPr>
            </control>
          </mc:Choice>
        </mc:AlternateContent>
        <mc:AlternateContent xmlns:mc="http://schemas.openxmlformats.org/markup-compatibility/2006">
          <mc:Choice Requires="x14">
            <control shapeId="224287" r:id="rId35" name="Check Box 31">
              <controlPr defaultSize="0" autoFill="0" autoLine="0" autoPict="0">
                <anchor moveWithCells="1">
                  <from>
                    <xdr:col>24</xdr:col>
                    <xdr:colOff>0</xdr:colOff>
                    <xdr:row>60</xdr:row>
                    <xdr:rowOff>152400</xdr:rowOff>
                  </from>
                  <to>
                    <xdr:col>25</xdr:col>
                    <xdr:colOff>66675</xdr:colOff>
                    <xdr:row>62</xdr:row>
                    <xdr:rowOff>28575</xdr:rowOff>
                  </to>
                </anchor>
              </controlPr>
            </control>
          </mc:Choice>
        </mc:AlternateContent>
        <mc:AlternateContent xmlns:mc="http://schemas.openxmlformats.org/markup-compatibility/2006">
          <mc:Choice Requires="x14">
            <control shapeId="224288" r:id="rId36" name="Check Box 32">
              <controlPr defaultSize="0" autoFill="0" autoLine="0" autoPict="0">
                <anchor moveWithCells="1">
                  <from>
                    <xdr:col>25</xdr:col>
                    <xdr:colOff>0</xdr:colOff>
                    <xdr:row>62</xdr:row>
                    <xdr:rowOff>152400</xdr:rowOff>
                  </from>
                  <to>
                    <xdr:col>26</xdr:col>
                    <xdr:colOff>66675</xdr:colOff>
                    <xdr:row>64</xdr:row>
                    <xdr:rowOff>28575</xdr:rowOff>
                  </to>
                </anchor>
              </controlPr>
            </control>
          </mc:Choice>
        </mc:AlternateContent>
        <mc:AlternateContent xmlns:mc="http://schemas.openxmlformats.org/markup-compatibility/2006">
          <mc:Choice Requires="x14">
            <control shapeId="224289" r:id="rId37" name="Check Box 33">
              <controlPr defaultSize="0" autoFill="0" autoLine="0" autoPict="0">
                <anchor moveWithCells="1">
                  <from>
                    <xdr:col>25</xdr:col>
                    <xdr:colOff>0</xdr:colOff>
                    <xdr:row>64</xdr:row>
                    <xdr:rowOff>152400</xdr:rowOff>
                  </from>
                  <to>
                    <xdr:col>26</xdr:col>
                    <xdr:colOff>66675</xdr:colOff>
                    <xdr:row>66</xdr:row>
                    <xdr:rowOff>28575</xdr:rowOff>
                  </to>
                </anchor>
              </controlPr>
            </control>
          </mc:Choice>
        </mc:AlternateContent>
        <mc:AlternateContent xmlns:mc="http://schemas.openxmlformats.org/markup-compatibility/2006">
          <mc:Choice Requires="x14">
            <control shapeId="224290" r:id="rId38" name="Check Box 34">
              <controlPr defaultSize="0" autoFill="0" autoLine="0" autoPict="0">
                <anchor moveWithCells="1">
                  <from>
                    <xdr:col>24</xdr:col>
                    <xdr:colOff>0</xdr:colOff>
                    <xdr:row>63</xdr:row>
                    <xdr:rowOff>152400</xdr:rowOff>
                  </from>
                  <to>
                    <xdr:col>25</xdr:col>
                    <xdr:colOff>66675</xdr:colOff>
                    <xdr:row>65</xdr:row>
                    <xdr:rowOff>28575</xdr:rowOff>
                  </to>
                </anchor>
              </controlPr>
            </control>
          </mc:Choice>
        </mc:AlternateContent>
        <mc:AlternateContent xmlns:mc="http://schemas.openxmlformats.org/markup-compatibility/2006">
          <mc:Choice Requires="x14">
            <control shapeId="224291" r:id="rId39" name="Check Box 35">
              <controlPr defaultSize="0" autoFill="0" autoLine="0" autoPict="0">
                <anchor moveWithCells="1">
                  <from>
                    <xdr:col>24</xdr:col>
                    <xdr:colOff>0</xdr:colOff>
                    <xdr:row>65</xdr:row>
                    <xdr:rowOff>152400</xdr:rowOff>
                  </from>
                  <to>
                    <xdr:col>25</xdr:col>
                    <xdr:colOff>66675</xdr:colOff>
                    <xdr:row>67</xdr:row>
                    <xdr:rowOff>28575</xdr:rowOff>
                  </to>
                </anchor>
              </controlPr>
            </control>
          </mc:Choice>
        </mc:AlternateContent>
        <mc:AlternateContent xmlns:mc="http://schemas.openxmlformats.org/markup-compatibility/2006">
          <mc:Choice Requires="x14">
            <control shapeId="224292" r:id="rId40" name="Check Box 36">
              <controlPr defaultSize="0" autoFill="0" autoLine="0" autoPict="0">
                <anchor moveWithCells="1">
                  <from>
                    <xdr:col>34</xdr:col>
                    <xdr:colOff>0</xdr:colOff>
                    <xdr:row>70</xdr:row>
                    <xdr:rowOff>152400</xdr:rowOff>
                  </from>
                  <to>
                    <xdr:col>35</xdr:col>
                    <xdr:colOff>66675</xdr:colOff>
                    <xdr:row>72</xdr:row>
                    <xdr:rowOff>28575</xdr:rowOff>
                  </to>
                </anchor>
              </controlPr>
            </control>
          </mc:Choice>
        </mc:AlternateContent>
        <mc:AlternateContent xmlns:mc="http://schemas.openxmlformats.org/markup-compatibility/2006">
          <mc:Choice Requires="x14">
            <control shapeId="224293" r:id="rId41" name="Check Box 37">
              <controlPr defaultSize="0" autoFill="0" autoLine="0" autoPict="0">
                <anchor moveWithCells="1">
                  <from>
                    <xdr:col>23</xdr:col>
                    <xdr:colOff>0</xdr:colOff>
                    <xdr:row>70</xdr:row>
                    <xdr:rowOff>152400</xdr:rowOff>
                  </from>
                  <to>
                    <xdr:col>24</xdr:col>
                    <xdr:colOff>66675</xdr:colOff>
                    <xdr:row>72</xdr:row>
                    <xdr:rowOff>28575</xdr:rowOff>
                  </to>
                </anchor>
              </controlPr>
            </control>
          </mc:Choice>
        </mc:AlternateContent>
        <mc:AlternateContent xmlns:mc="http://schemas.openxmlformats.org/markup-compatibility/2006">
          <mc:Choice Requires="x14">
            <control shapeId="224294" r:id="rId42" name="Check Box 38">
              <controlPr defaultSize="0" autoFill="0" autoLine="0" autoPict="0">
                <anchor moveWithCells="1">
                  <from>
                    <xdr:col>13</xdr:col>
                    <xdr:colOff>0</xdr:colOff>
                    <xdr:row>70</xdr:row>
                    <xdr:rowOff>152400</xdr:rowOff>
                  </from>
                  <to>
                    <xdr:col>14</xdr:col>
                    <xdr:colOff>66675</xdr:colOff>
                    <xdr:row>72</xdr:row>
                    <xdr:rowOff>28575</xdr:rowOff>
                  </to>
                </anchor>
              </controlPr>
            </control>
          </mc:Choice>
        </mc:AlternateContent>
        <mc:AlternateContent xmlns:mc="http://schemas.openxmlformats.org/markup-compatibility/2006">
          <mc:Choice Requires="x14">
            <control shapeId="224295" r:id="rId43" name="Check Box 39">
              <controlPr defaultSize="0" autoFill="0" autoLine="0" autoPict="0">
                <anchor moveWithCells="1">
                  <from>
                    <xdr:col>0</xdr:col>
                    <xdr:colOff>0</xdr:colOff>
                    <xdr:row>70</xdr:row>
                    <xdr:rowOff>152400</xdr:rowOff>
                  </from>
                  <to>
                    <xdr:col>1</xdr:col>
                    <xdr:colOff>66675</xdr:colOff>
                    <xdr:row>72</xdr:row>
                    <xdr:rowOff>28575</xdr:rowOff>
                  </to>
                </anchor>
              </controlPr>
            </control>
          </mc:Choice>
        </mc:AlternateContent>
        <mc:AlternateContent xmlns:mc="http://schemas.openxmlformats.org/markup-compatibility/2006">
          <mc:Choice Requires="x14">
            <control shapeId="224296" r:id="rId44" name="Check Box 40">
              <controlPr defaultSize="0" autoFill="0" autoLine="0" autoPict="0">
                <anchor moveWithCells="1">
                  <from>
                    <xdr:col>0</xdr:col>
                    <xdr:colOff>0</xdr:colOff>
                    <xdr:row>67</xdr:row>
                    <xdr:rowOff>0</xdr:rowOff>
                  </from>
                  <to>
                    <xdr:col>1</xdr:col>
                    <xdr:colOff>66675</xdr:colOff>
                    <xdr:row>69</xdr:row>
                    <xdr:rowOff>28575</xdr:rowOff>
                  </to>
                </anchor>
              </controlPr>
            </control>
          </mc:Choice>
        </mc:AlternateContent>
        <mc:AlternateContent xmlns:mc="http://schemas.openxmlformats.org/markup-compatibility/2006">
          <mc:Choice Requires="x14">
            <control shapeId="224297" r:id="rId45" name="Check Box 41">
              <controlPr defaultSize="0" autoFill="0" autoLine="0" autoPict="0">
                <anchor moveWithCells="1">
                  <from>
                    <xdr:col>0</xdr:col>
                    <xdr:colOff>0</xdr:colOff>
                    <xdr:row>54</xdr:row>
                    <xdr:rowOff>276225</xdr:rowOff>
                  </from>
                  <to>
                    <xdr:col>1</xdr:col>
                    <xdr:colOff>66675</xdr:colOff>
                    <xdr:row>56</xdr:row>
                    <xdr:rowOff>28575</xdr:rowOff>
                  </to>
                </anchor>
              </controlPr>
            </control>
          </mc:Choice>
        </mc:AlternateContent>
        <mc:AlternateContent xmlns:mc="http://schemas.openxmlformats.org/markup-compatibility/2006">
          <mc:Choice Requires="x14">
            <control shapeId="224298" r:id="rId46" name="Check Box 42">
              <controlPr defaultSize="0" autoFill="0" autoLine="0" autoPict="0">
                <anchor moveWithCells="1">
                  <from>
                    <xdr:col>1</xdr:col>
                    <xdr:colOff>0</xdr:colOff>
                    <xdr:row>55</xdr:row>
                    <xdr:rowOff>152400</xdr:rowOff>
                  </from>
                  <to>
                    <xdr:col>2</xdr:col>
                    <xdr:colOff>66675</xdr:colOff>
                    <xdr:row>57</xdr:row>
                    <xdr:rowOff>28575</xdr:rowOff>
                  </to>
                </anchor>
              </controlPr>
            </control>
          </mc:Choice>
        </mc:AlternateContent>
        <mc:AlternateContent xmlns:mc="http://schemas.openxmlformats.org/markup-compatibility/2006">
          <mc:Choice Requires="x14">
            <control shapeId="224299" r:id="rId47" name="Check Box 43">
              <controlPr defaultSize="0" autoFill="0" autoLine="0" autoPict="0">
                <anchor moveWithCells="1">
                  <from>
                    <xdr:col>2</xdr:col>
                    <xdr:colOff>0</xdr:colOff>
                    <xdr:row>57</xdr:row>
                    <xdr:rowOff>152400</xdr:rowOff>
                  </from>
                  <to>
                    <xdr:col>3</xdr:col>
                    <xdr:colOff>66675</xdr:colOff>
                    <xdr:row>59</xdr:row>
                    <xdr:rowOff>28575</xdr:rowOff>
                  </to>
                </anchor>
              </controlPr>
            </control>
          </mc:Choice>
        </mc:AlternateContent>
        <mc:AlternateContent xmlns:mc="http://schemas.openxmlformats.org/markup-compatibility/2006">
          <mc:Choice Requires="x14">
            <control shapeId="224300" r:id="rId48" name="Check Box 44">
              <controlPr defaultSize="0" autoFill="0" autoLine="0" autoPict="0">
                <anchor moveWithCells="1">
                  <from>
                    <xdr:col>6</xdr:col>
                    <xdr:colOff>0</xdr:colOff>
                    <xdr:row>58</xdr:row>
                    <xdr:rowOff>152400</xdr:rowOff>
                  </from>
                  <to>
                    <xdr:col>7</xdr:col>
                    <xdr:colOff>66675</xdr:colOff>
                    <xdr:row>60</xdr:row>
                    <xdr:rowOff>28575</xdr:rowOff>
                  </to>
                </anchor>
              </controlPr>
            </control>
          </mc:Choice>
        </mc:AlternateContent>
        <mc:AlternateContent xmlns:mc="http://schemas.openxmlformats.org/markup-compatibility/2006">
          <mc:Choice Requires="x14">
            <control shapeId="224301" r:id="rId49" name="Check Box 45">
              <controlPr defaultSize="0" autoFill="0" autoLine="0" autoPict="0">
                <anchor moveWithCells="1">
                  <from>
                    <xdr:col>14</xdr:col>
                    <xdr:colOff>0</xdr:colOff>
                    <xdr:row>56</xdr:row>
                    <xdr:rowOff>152400</xdr:rowOff>
                  </from>
                  <to>
                    <xdr:col>15</xdr:col>
                    <xdr:colOff>66675</xdr:colOff>
                    <xdr:row>58</xdr:row>
                    <xdr:rowOff>28575</xdr:rowOff>
                  </to>
                </anchor>
              </controlPr>
            </control>
          </mc:Choice>
        </mc:AlternateContent>
        <mc:AlternateContent xmlns:mc="http://schemas.openxmlformats.org/markup-compatibility/2006">
          <mc:Choice Requires="x14">
            <control shapeId="224302" r:id="rId50" name="Check Box 46">
              <controlPr defaultSize="0" autoFill="0" autoLine="0" autoPict="0">
                <anchor moveWithCells="1">
                  <from>
                    <xdr:col>1</xdr:col>
                    <xdr:colOff>0</xdr:colOff>
                    <xdr:row>56</xdr:row>
                    <xdr:rowOff>152400</xdr:rowOff>
                  </from>
                  <to>
                    <xdr:col>2</xdr:col>
                    <xdr:colOff>66675</xdr:colOff>
                    <xdr:row>58</xdr:row>
                    <xdr:rowOff>28575</xdr:rowOff>
                  </to>
                </anchor>
              </controlPr>
            </control>
          </mc:Choice>
        </mc:AlternateContent>
        <mc:AlternateContent xmlns:mc="http://schemas.openxmlformats.org/markup-compatibility/2006">
          <mc:Choice Requires="x14">
            <control shapeId="224303" r:id="rId51" name="Check Box 47">
              <controlPr defaultSize="0" autoFill="0" autoLine="0" autoPict="0">
                <anchor moveWithCells="1">
                  <from>
                    <xdr:col>44</xdr:col>
                    <xdr:colOff>9525</xdr:colOff>
                    <xdr:row>56</xdr:row>
                    <xdr:rowOff>133350</xdr:rowOff>
                  </from>
                  <to>
                    <xdr:col>45</xdr:col>
                    <xdr:colOff>76200</xdr:colOff>
                    <xdr:row>58</xdr:row>
                    <xdr:rowOff>9525</xdr:rowOff>
                  </to>
                </anchor>
              </controlPr>
            </control>
          </mc:Choice>
        </mc:AlternateContent>
        <mc:AlternateContent xmlns:mc="http://schemas.openxmlformats.org/markup-compatibility/2006">
          <mc:Choice Requires="x14">
            <control shapeId="224304" r:id="rId52" name="Check Box 48">
              <controlPr defaultSize="0" autoFill="0" autoLine="0" autoPict="0">
                <anchor moveWithCells="1">
                  <from>
                    <xdr:col>34</xdr:col>
                    <xdr:colOff>9525</xdr:colOff>
                    <xdr:row>56</xdr:row>
                    <xdr:rowOff>161925</xdr:rowOff>
                  </from>
                  <to>
                    <xdr:col>35</xdr:col>
                    <xdr:colOff>76200</xdr:colOff>
                    <xdr:row>58</xdr:row>
                    <xdr:rowOff>38100</xdr:rowOff>
                  </to>
                </anchor>
              </controlPr>
            </control>
          </mc:Choice>
        </mc:AlternateContent>
        <mc:AlternateContent xmlns:mc="http://schemas.openxmlformats.org/markup-compatibility/2006">
          <mc:Choice Requires="x14">
            <control shapeId="224305" r:id="rId53" name="Check Box 49">
              <controlPr defaultSize="0" autoFill="0" autoLine="0" autoPict="0">
                <anchor moveWithCells="1">
                  <from>
                    <xdr:col>6</xdr:col>
                    <xdr:colOff>0</xdr:colOff>
                    <xdr:row>59</xdr:row>
                    <xdr:rowOff>152400</xdr:rowOff>
                  </from>
                  <to>
                    <xdr:col>7</xdr:col>
                    <xdr:colOff>66675</xdr:colOff>
                    <xdr:row>61</xdr:row>
                    <xdr:rowOff>28575</xdr:rowOff>
                  </to>
                </anchor>
              </controlPr>
            </control>
          </mc:Choice>
        </mc:AlternateContent>
        <mc:AlternateContent xmlns:mc="http://schemas.openxmlformats.org/markup-compatibility/2006">
          <mc:Choice Requires="x14">
            <control shapeId="224306" r:id="rId54" name="Check Box 50">
              <controlPr defaultSize="0" autoFill="0" autoLine="0" autoPict="0">
                <anchor moveWithCells="1">
                  <from>
                    <xdr:col>2</xdr:col>
                    <xdr:colOff>0</xdr:colOff>
                    <xdr:row>58</xdr:row>
                    <xdr:rowOff>142875</xdr:rowOff>
                  </from>
                  <to>
                    <xdr:col>3</xdr:col>
                    <xdr:colOff>66675</xdr:colOff>
                    <xdr:row>60</xdr:row>
                    <xdr:rowOff>19050</xdr:rowOff>
                  </to>
                </anchor>
              </controlPr>
            </control>
          </mc:Choice>
        </mc:AlternateContent>
        <mc:AlternateContent xmlns:mc="http://schemas.openxmlformats.org/markup-compatibility/2006">
          <mc:Choice Requires="x14">
            <control shapeId="224307" r:id="rId55" name="Check Box 51">
              <controlPr defaultSize="0" autoFill="0" autoLine="0" autoPict="0">
                <anchor moveWithCells="1">
                  <from>
                    <xdr:col>24</xdr:col>
                    <xdr:colOff>9525</xdr:colOff>
                    <xdr:row>56</xdr:row>
                    <xdr:rowOff>152400</xdr:rowOff>
                  </from>
                  <to>
                    <xdr:col>25</xdr:col>
                    <xdr:colOff>76200</xdr:colOff>
                    <xdr:row>58</xdr:row>
                    <xdr:rowOff>28575</xdr:rowOff>
                  </to>
                </anchor>
              </controlPr>
            </control>
          </mc:Choice>
        </mc:AlternateContent>
        <mc:AlternateContent xmlns:mc="http://schemas.openxmlformats.org/markup-compatibility/2006">
          <mc:Choice Requires="x14">
            <control shapeId="224308" r:id="rId56" name="Check Box 52">
              <controlPr defaultSize="0" autoFill="0" autoLine="0" autoPict="0">
                <anchor moveWithCells="1">
                  <from>
                    <xdr:col>24</xdr:col>
                    <xdr:colOff>19050</xdr:colOff>
                    <xdr:row>57</xdr:row>
                    <xdr:rowOff>152400</xdr:rowOff>
                  </from>
                  <to>
                    <xdr:col>25</xdr:col>
                    <xdr:colOff>85725</xdr:colOff>
                    <xdr:row>59</xdr:row>
                    <xdr:rowOff>28575</xdr:rowOff>
                  </to>
                </anchor>
              </controlPr>
            </control>
          </mc:Choice>
        </mc:AlternateContent>
        <mc:AlternateContent xmlns:mc="http://schemas.openxmlformats.org/markup-compatibility/2006">
          <mc:Choice Requires="x14">
            <control shapeId="224309" r:id="rId57" name="Check Box 53">
              <controlPr defaultSize="0" autoFill="0" autoLine="0" autoPict="0">
                <anchor moveWithCells="1">
                  <from>
                    <xdr:col>23</xdr:col>
                    <xdr:colOff>0</xdr:colOff>
                    <xdr:row>71</xdr:row>
                    <xdr:rowOff>161925</xdr:rowOff>
                  </from>
                  <to>
                    <xdr:col>24</xdr:col>
                    <xdr:colOff>66675</xdr:colOff>
                    <xdr:row>73</xdr:row>
                    <xdr:rowOff>38100</xdr:rowOff>
                  </to>
                </anchor>
              </controlPr>
            </control>
          </mc:Choice>
        </mc:AlternateContent>
        <mc:AlternateContent xmlns:mc="http://schemas.openxmlformats.org/markup-compatibility/2006">
          <mc:Choice Requires="x14">
            <control shapeId="224310" r:id="rId58" name="Check Box 54">
              <controlPr defaultSize="0" autoFill="0" autoLine="0" autoPict="0">
                <anchor moveWithCells="1">
                  <from>
                    <xdr:col>13</xdr:col>
                    <xdr:colOff>0</xdr:colOff>
                    <xdr:row>71</xdr:row>
                    <xdr:rowOff>152400</xdr:rowOff>
                  </from>
                  <to>
                    <xdr:col>14</xdr:col>
                    <xdr:colOff>66675</xdr:colOff>
                    <xdr:row>73</xdr:row>
                    <xdr:rowOff>28575</xdr:rowOff>
                  </to>
                </anchor>
              </controlPr>
            </control>
          </mc:Choice>
        </mc:AlternateContent>
        <mc:AlternateContent xmlns:mc="http://schemas.openxmlformats.org/markup-compatibility/2006">
          <mc:Choice Requires="x14">
            <control shapeId="224311" r:id="rId59" name="Check Box 55">
              <controlPr defaultSize="0" autoFill="0" autoLine="0" autoPict="0">
                <anchor moveWithCells="1">
                  <from>
                    <xdr:col>0</xdr:col>
                    <xdr:colOff>0</xdr:colOff>
                    <xdr:row>52</xdr:row>
                    <xdr:rowOff>9525</xdr:rowOff>
                  </from>
                  <to>
                    <xdr:col>1</xdr:col>
                    <xdr:colOff>66675</xdr:colOff>
                    <xdr:row>52</xdr:row>
                    <xdr:rowOff>266700</xdr:rowOff>
                  </to>
                </anchor>
              </controlPr>
            </control>
          </mc:Choice>
        </mc:AlternateContent>
        <mc:AlternateContent xmlns:mc="http://schemas.openxmlformats.org/markup-compatibility/2006">
          <mc:Choice Requires="x14">
            <control shapeId="224312" r:id="rId60" name="Check Box 56">
              <controlPr defaultSize="0" autoFill="0" autoLine="0" autoPict="0">
                <anchor moveWithCells="1">
                  <from>
                    <xdr:col>0</xdr:col>
                    <xdr:colOff>0</xdr:colOff>
                    <xdr:row>51</xdr:row>
                    <xdr:rowOff>9525</xdr:rowOff>
                  </from>
                  <to>
                    <xdr:col>1</xdr:col>
                    <xdr:colOff>66675</xdr:colOff>
                    <xdr:row>51</xdr:row>
                    <xdr:rowOff>266700</xdr:rowOff>
                  </to>
                </anchor>
              </controlPr>
            </control>
          </mc:Choice>
        </mc:AlternateContent>
        <mc:AlternateContent xmlns:mc="http://schemas.openxmlformats.org/markup-compatibility/2006">
          <mc:Choice Requires="x14">
            <control shapeId="224313" r:id="rId61" name="Check Box 57">
              <controlPr defaultSize="0" autoFill="0" autoLine="0" autoPict="0">
                <anchor moveWithCells="1">
                  <from>
                    <xdr:col>0</xdr:col>
                    <xdr:colOff>0</xdr:colOff>
                    <xdr:row>53</xdr:row>
                    <xdr:rowOff>38100</xdr:rowOff>
                  </from>
                  <to>
                    <xdr:col>1</xdr:col>
                    <xdr:colOff>66675</xdr:colOff>
                    <xdr:row>53</xdr:row>
                    <xdr:rowOff>295275</xdr:rowOff>
                  </to>
                </anchor>
              </controlPr>
            </control>
          </mc:Choice>
        </mc:AlternateContent>
        <mc:AlternateContent xmlns:mc="http://schemas.openxmlformats.org/markup-compatibility/2006">
          <mc:Choice Requires="x14">
            <control shapeId="224314" r:id="rId62" name="Check Box 58">
              <controlPr defaultSize="0" autoFill="0" autoLine="0" autoPict="0">
                <anchor moveWithCells="1">
                  <from>
                    <xdr:col>0</xdr:col>
                    <xdr:colOff>0</xdr:colOff>
                    <xdr:row>46</xdr:row>
                    <xdr:rowOff>19050</xdr:rowOff>
                  </from>
                  <to>
                    <xdr:col>1</xdr:col>
                    <xdr:colOff>66675</xdr:colOff>
                    <xdr:row>46</xdr:row>
                    <xdr:rowOff>276225</xdr:rowOff>
                  </to>
                </anchor>
              </controlPr>
            </control>
          </mc:Choice>
        </mc:AlternateContent>
        <mc:AlternateContent xmlns:mc="http://schemas.openxmlformats.org/markup-compatibility/2006">
          <mc:Choice Requires="x14">
            <control shapeId="224315" r:id="rId63" name="Check Box 59">
              <controlPr defaultSize="0" autoFill="0" autoLine="0" autoPict="0">
                <anchor moveWithCells="1">
                  <from>
                    <xdr:col>13</xdr:col>
                    <xdr:colOff>0</xdr:colOff>
                    <xdr:row>46</xdr:row>
                    <xdr:rowOff>28575</xdr:rowOff>
                  </from>
                  <to>
                    <xdr:col>14</xdr:col>
                    <xdr:colOff>66675</xdr:colOff>
                    <xdr:row>46</xdr:row>
                    <xdr:rowOff>285750</xdr:rowOff>
                  </to>
                </anchor>
              </controlPr>
            </control>
          </mc:Choice>
        </mc:AlternateContent>
        <mc:AlternateContent xmlns:mc="http://schemas.openxmlformats.org/markup-compatibility/2006">
          <mc:Choice Requires="x14">
            <control shapeId="224316" r:id="rId64" name="Check Box 60">
              <controlPr defaultSize="0" autoFill="0" autoLine="0" autoPict="0">
                <anchor moveWithCells="1">
                  <from>
                    <xdr:col>14</xdr:col>
                    <xdr:colOff>9525</xdr:colOff>
                    <xdr:row>47</xdr:row>
                    <xdr:rowOff>285750</xdr:rowOff>
                  </from>
                  <to>
                    <xdr:col>15</xdr:col>
                    <xdr:colOff>76200</xdr:colOff>
                    <xdr:row>49</xdr:row>
                    <xdr:rowOff>38100</xdr:rowOff>
                  </to>
                </anchor>
              </controlPr>
            </control>
          </mc:Choice>
        </mc:AlternateContent>
        <mc:AlternateContent xmlns:mc="http://schemas.openxmlformats.org/markup-compatibility/2006">
          <mc:Choice Requires="x14">
            <control shapeId="224317" r:id="rId65" name="Check Box 61">
              <controlPr defaultSize="0" autoFill="0" autoLine="0" autoPict="0">
                <anchor moveWithCells="1">
                  <from>
                    <xdr:col>1</xdr:col>
                    <xdr:colOff>9525</xdr:colOff>
                    <xdr:row>47</xdr:row>
                    <xdr:rowOff>266700</xdr:rowOff>
                  </from>
                  <to>
                    <xdr:col>2</xdr:col>
                    <xdr:colOff>76200</xdr:colOff>
                    <xdr:row>49</xdr:row>
                    <xdr:rowOff>19050</xdr:rowOff>
                  </to>
                </anchor>
              </controlPr>
            </control>
          </mc:Choice>
        </mc:AlternateContent>
        <mc:AlternateContent xmlns:mc="http://schemas.openxmlformats.org/markup-compatibility/2006">
          <mc:Choice Requires="x14">
            <control shapeId="224318" r:id="rId66" name="Check Box 62">
              <controlPr defaultSize="0" autoFill="0" autoLine="0" autoPict="0">
                <anchor moveWithCells="1">
                  <from>
                    <xdr:col>24</xdr:col>
                    <xdr:colOff>9525</xdr:colOff>
                    <xdr:row>47</xdr:row>
                    <xdr:rowOff>285750</xdr:rowOff>
                  </from>
                  <to>
                    <xdr:col>25</xdr:col>
                    <xdr:colOff>76200</xdr:colOff>
                    <xdr:row>49</xdr:row>
                    <xdr:rowOff>38100</xdr:rowOff>
                  </to>
                </anchor>
              </controlPr>
            </control>
          </mc:Choice>
        </mc:AlternateContent>
        <mc:AlternateContent xmlns:mc="http://schemas.openxmlformats.org/markup-compatibility/2006">
          <mc:Choice Requires="x14">
            <control shapeId="224319" r:id="rId67" name="Check Box 63">
              <controlPr defaultSize="0" autoFill="0" autoLine="0" autoPict="0">
                <anchor moveWithCells="1">
                  <from>
                    <xdr:col>34</xdr:col>
                    <xdr:colOff>9525</xdr:colOff>
                    <xdr:row>47</xdr:row>
                    <xdr:rowOff>285750</xdr:rowOff>
                  </from>
                  <to>
                    <xdr:col>35</xdr:col>
                    <xdr:colOff>76200</xdr:colOff>
                    <xdr:row>49</xdr:row>
                    <xdr:rowOff>38100</xdr:rowOff>
                  </to>
                </anchor>
              </controlPr>
            </control>
          </mc:Choice>
        </mc:AlternateContent>
        <mc:AlternateContent xmlns:mc="http://schemas.openxmlformats.org/markup-compatibility/2006">
          <mc:Choice Requires="x14">
            <control shapeId="224320" r:id="rId68" name="Check Box 64">
              <controlPr defaultSize="0" autoFill="0" autoLine="0" autoPict="0">
                <anchor moveWithCells="1">
                  <from>
                    <xdr:col>44</xdr:col>
                    <xdr:colOff>9525</xdr:colOff>
                    <xdr:row>47</xdr:row>
                    <xdr:rowOff>285750</xdr:rowOff>
                  </from>
                  <to>
                    <xdr:col>45</xdr:col>
                    <xdr:colOff>76200</xdr:colOff>
                    <xdr:row>49</xdr:row>
                    <xdr:rowOff>38100</xdr:rowOff>
                  </to>
                </anchor>
              </controlPr>
            </control>
          </mc:Choice>
        </mc:AlternateContent>
        <mc:AlternateContent xmlns:mc="http://schemas.openxmlformats.org/markup-compatibility/2006">
          <mc:Choice Requires="x14">
            <control shapeId="224321" r:id="rId69" name="Check Box 65">
              <controlPr defaultSize="0" autoFill="0" autoLine="0" autoPict="0">
                <anchor moveWithCells="1">
                  <from>
                    <xdr:col>43</xdr:col>
                    <xdr:colOff>28575</xdr:colOff>
                    <xdr:row>51</xdr:row>
                    <xdr:rowOff>38100</xdr:rowOff>
                  </from>
                  <to>
                    <xdr:col>44</xdr:col>
                    <xdr:colOff>104775</xdr:colOff>
                    <xdr:row>51</xdr:row>
                    <xdr:rowOff>295275</xdr:rowOff>
                  </to>
                </anchor>
              </controlPr>
            </control>
          </mc:Choice>
        </mc:AlternateContent>
        <mc:AlternateContent xmlns:mc="http://schemas.openxmlformats.org/markup-compatibility/2006">
          <mc:Choice Requires="x14">
            <control shapeId="224322" r:id="rId70" name="Check Box 66">
              <controlPr defaultSize="0" autoFill="0" autoLine="0" autoPict="0">
                <anchor moveWithCells="1">
                  <from>
                    <xdr:col>43</xdr:col>
                    <xdr:colOff>28575</xdr:colOff>
                    <xdr:row>52</xdr:row>
                    <xdr:rowOff>9525</xdr:rowOff>
                  </from>
                  <to>
                    <xdr:col>44</xdr:col>
                    <xdr:colOff>95250</xdr:colOff>
                    <xdr:row>52</xdr:row>
                    <xdr:rowOff>266700</xdr:rowOff>
                  </to>
                </anchor>
              </controlPr>
            </control>
          </mc:Choice>
        </mc:AlternateContent>
        <mc:AlternateContent xmlns:mc="http://schemas.openxmlformats.org/markup-compatibility/2006">
          <mc:Choice Requires="x14">
            <control shapeId="224323" r:id="rId71" name="Check Box 67">
              <controlPr defaultSize="0" autoFill="0" autoLine="0" autoPict="0">
                <anchor moveWithCells="1">
                  <from>
                    <xdr:col>43</xdr:col>
                    <xdr:colOff>0</xdr:colOff>
                    <xdr:row>46</xdr:row>
                    <xdr:rowOff>47625</xdr:rowOff>
                  </from>
                  <to>
                    <xdr:col>44</xdr:col>
                    <xdr:colOff>66675</xdr:colOff>
                    <xdr:row>46</xdr:row>
                    <xdr:rowOff>304800</xdr:rowOff>
                  </to>
                </anchor>
              </controlPr>
            </control>
          </mc:Choice>
        </mc:AlternateContent>
        <mc:AlternateContent xmlns:mc="http://schemas.openxmlformats.org/markup-compatibility/2006">
          <mc:Choice Requires="x14">
            <control shapeId="224324" r:id="rId72" name="Check Box 68">
              <controlPr defaultSize="0" autoFill="0" autoLine="0" autoPict="0">
                <anchor moveWithCells="1">
                  <from>
                    <xdr:col>33</xdr:col>
                    <xdr:colOff>0</xdr:colOff>
                    <xdr:row>46</xdr:row>
                    <xdr:rowOff>38100</xdr:rowOff>
                  </from>
                  <to>
                    <xdr:col>34</xdr:col>
                    <xdr:colOff>66675</xdr:colOff>
                    <xdr:row>46</xdr:row>
                    <xdr:rowOff>295275</xdr:rowOff>
                  </to>
                </anchor>
              </controlPr>
            </control>
          </mc:Choice>
        </mc:AlternateContent>
        <mc:AlternateContent xmlns:mc="http://schemas.openxmlformats.org/markup-compatibility/2006">
          <mc:Choice Requires="x14">
            <control shapeId="224325" r:id="rId73" name="Check Box 69">
              <controlPr defaultSize="0" autoFill="0" autoLine="0" autoPict="0">
                <anchor moveWithCells="1">
                  <from>
                    <xdr:col>33</xdr:col>
                    <xdr:colOff>9525</xdr:colOff>
                    <xdr:row>53</xdr:row>
                    <xdr:rowOff>285750</xdr:rowOff>
                  </from>
                  <to>
                    <xdr:col>34</xdr:col>
                    <xdr:colOff>76200</xdr:colOff>
                    <xdr:row>54</xdr:row>
                    <xdr:rowOff>228600</xdr:rowOff>
                  </to>
                </anchor>
              </controlPr>
            </control>
          </mc:Choice>
        </mc:AlternateContent>
        <mc:AlternateContent xmlns:mc="http://schemas.openxmlformats.org/markup-compatibility/2006">
          <mc:Choice Requires="x14">
            <control shapeId="224326" r:id="rId74" name="Check Box 70">
              <controlPr defaultSize="0" autoFill="0" autoLine="0" autoPict="0">
                <anchor moveWithCells="1">
                  <from>
                    <xdr:col>33</xdr:col>
                    <xdr:colOff>9525</xdr:colOff>
                    <xdr:row>52</xdr:row>
                    <xdr:rowOff>285750</xdr:rowOff>
                  </from>
                  <to>
                    <xdr:col>34</xdr:col>
                    <xdr:colOff>76200</xdr:colOff>
                    <xdr:row>53</xdr:row>
                    <xdr:rowOff>228600</xdr:rowOff>
                  </to>
                </anchor>
              </controlPr>
            </control>
          </mc:Choice>
        </mc:AlternateContent>
        <mc:AlternateContent xmlns:mc="http://schemas.openxmlformats.org/markup-compatibility/2006">
          <mc:Choice Requires="x14">
            <control shapeId="224327" r:id="rId75" name="Check Box 71">
              <controlPr defaultSize="0" autoFill="0" autoLine="0" autoPict="0">
                <anchor moveWithCells="1">
                  <from>
                    <xdr:col>33</xdr:col>
                    <xdr:colOff>9525</xdr:colOff>
                    <xdr:row>51</xdr:row>
                    <xdr:rowOff>285750</xdr:rowOff>
                  </from>
                  <to>
                    <xdr:col>34</xdr:col>
                    <xdr:colOff>76200</xdr:colOff>
                    <xdr:row>52</xdr:row>
                    <xdr:rowOff>228600</xdr:rowOff>
                  </to>
                </anchor>
              </controlPr>
            </control>
          </mc:Choice>
        </mc:AlternateContent>
        <mc:AlternateContent xmlns:mc="http://schemas.openxmlformats.org/markup-compatibility/2006">
          <mc:Choice Requires="x14">
            <control shapeId="224328" r:id="rId76" name="Check Box 72">
              <controlPr defaultSize="0" autoFill="0" autoLine="0" autoPict="0">
                <anchor moveWithCells="1">
                  <from>
                    <xdr:col>33</xdr:col>
                    <xdr:colOff>9525</xdr:colOff>
                    <xdr:row>50</xdr:row>
                    <xdr:rowOff>285750</xdr:rowOff>
                  </from>
                  <to>
                    <xdr:col>34</xdr:col>
                    <xdr:colOff>76200</xdr:colOff>
                    <xdr:row>51</xdr:row>
                    <xdr:rowOff>228600</xdr:rowOff>
                  </to>
                </anchor>
              </controlPr>
            </control>
          </mc:Choice>
        </mc:AlternateContent>
        <mc:AlternateContent xmlns:mc="http://schemas.openxmlformats.org/markup-compatibility/2006">
          <mc:Choice Requires="x14">
            <control shapeId="224329" r:id="rId77" name="Check Box 73">
              <controlPr defaultSize="0" autoFill="0" autoLine="0" autoPict="0">
                <anchor moveWithCells="1">
                  <from>
                    <xdr:col>13</xdr:col>
                    <xdr:colOff>9525</xdr:colOff>
                    <xdr:row>53</xdr:row>
                    <xdr:rowOff>285750</xdr:rowOff>
                  </from>
                  <to>
                    <xdr:col>14</xdr:col>
                    <xdr:colOff>76200</xdr:colOff>
                    <xdr:row>54</xdr:row>
                    <xdr:rowOff>228600</xdr:rowOff>
                  </to>
                </anchor>
              </controlPr>
            </control>
          </mc:Choice>
        </mc:AlternateContent>
        <mc:AlternateContent xmlns:mc="http://schemas.openxmlformats.org/markup-compatibility/2006">
          <mc:Choice Requires="x14">
            <control shapeId="224330" r:id="rId78" name="Check Box 74">
              <controlPr defaultSize="0" autoFill="0" autoLine="0" autoPict="0">
                <anchor moveWithCells="1">
                  <from>
                    <xdr:col>13</xdr:col>
                    <xdr:colOff>9525</xdr:colOff>
                    <xdr:row>52</xdr:row>
                    <xdr:rowOff>285750</xdr:rowOff>
                  </from>
                  <to>
                    <xdr:col>14</xdr:col>
                    <xdr:colOff>76200</xdr:colOff>
                    <xdr:row>53</xdr:row>
                    <xdr:rowOff>228600</xdr:rowOff>
                  </to>
                </anchor>
              </controlPr>
            </control>
          </mc:Choice>
        </mc:AlternateContent>
        <mc:AlternateContent xmlns:mc="http://schemas.openxmlformats.org/markup-compatibility/2006">
          <mc:Choice Requires="x14">
            <control shapeId="224331" r:id="rId79" name="Check Box 75">
              <controlPr defaultSize="0" autoFill="0" autoLine="0" autoPict="0">
                <anchor moveWithCells="1">
                  <from>
                    <xdr:col>13</xdr:col>
                    <xdr:colOff>9525</xdr:colOff>
                    <xdr:row>51</xdr:row>
                    <xdr:rowOff>285750</xdr:rowOff>
                  </from>
                  <to>
                    <xdr:col>14</xdr:col>
                    <xdr:colOff>76200</xdr:colOff>
                    <xdr:row>52</xdr:row>
                    <xdr:rowOff>228600</xdr:rowOff>
                  </to>
                </anchor>
              </controlPr>
            </control>
          </mc:Choice>
        </mc:AlternateContent>
        <mc:AlternateContent xmlns:mc="http://schemas.openxmlformats.org/markup-compatibility/2006">
          <mc:Choice Requires="x14">
            <control shapeId="224332" r:id="rId80" name="Check Box 76">
              <controlPr defaultSize="0" autoFill="0" autoLine="0" autoPict="0">
                <anchor moveWithCells="1">
                  <from>
                    <xdr:col>13</xdr:col>
                    <xdr:colOff>9525</xdr:colOff>
                    <xdr:row>50</xdr:row>
                    <xdr:rowOff>285750</xdr:rowOff>
                  </from>
                  <to>
                    <xdr:col>14</xdr:col>
                    <xdr:colOff>76200</xdr:colOff>
                    <xdr:row>51</xdr:row>
                    <xdr:rowOff>228600</xdr:rowOff>
                  </to>
                </anchor>
              </controlPr>
            </control>
          </mc:Choice>
        </mc:AlternateContent>
        <mc:AlternateContent xmlns:mc="http://schemas.openxmlformats.org/markup-compatibility/2006">
          <mc:Choice Requires="x14">
            <control shapeId="224333" r:id="rId81" name="Check Box 77">
              <controlPr defaultSize="0" autoFill="0" autoLine="0" autoPict="0">
                <anchor moveWithCells="1">
                  <from>
                    <xdr:col>23</xdr:col>
                    <xdr:colOff>9525</xdr:colOff>
                    <xdr:row>46</xdr:row>
                    <xdr:rowOff>19050</xdr:rowOff>
                  </from>
                  <to>
                    <xdr:col>24</xdr:col>
                    <xdr:colOff>76200</xdr:colOff>
                    <xdr:row>46</xdr:row>
                    <xdr:rowOff>276225</xdr:rowOff>
                  </to>
                </anchor>
              </controlPr>
            </control>
          </mc:Choice>
        </mc:AlternateContent>
        <mc:AlternateContent xmlns:mc="http://schemas.openxmlformats.org/markup-compatibility/2006">
          <mc:Choice Requires="x14">
            <control shapeId="224334" r:id="rId82" name="Check Box 78">
              <controlPr defaultSize="0" autoFill="0" autoLine="0" autoPict="0">
                <anchor moveWithCells="1">
                  <from>
                    <xdr:col>3</xdr:col>
                    <xdr:colOff>0</xdr:colOff>
                    <xdr:row>42</xdr:row>
                    <xdr:rowOff>95250</xdr:rowOff>
                  </from>
                  <to>
                    <xdr:col>4</xdr:col>
                    <xdr:colOff>76200</xdr:colOff>
                    <xdr:row>44</xdr:row>
                    <xdr:rowOff>47625</xdr:rowOff>
                  </to>
                </anchor>
              </controlPr>
            </control>
          </mc:Choice>
        </mc:AlternateContent>
        <mc:AlternateContent xmlns:mc="http://schemas.openxmlformats.org/markup-compatibility/2006">
          <mc:Choice Requires="x14">
            <control shapeId="224335" r:id="rId83" name="Check Box 79">
              <controlPr defaultSize="0" autoFill="0" autoLine="0" autoPict="0">
                <anchor moveWithCells="1">
                  <from>
                    <xdr:col>3</xdr:col>
                    <xdr:colOff>0</xdr:colOff>
                    <xdr:row>41</xdr:row>
                    <xdr:rowOff>95250</xdr:rowOff>
                  </from>
                  <to>
                    <xdr:col>4</xdr:col>
                    <xdr:colOff>76200</xdr:colOff>
                    <xdr:row>43</xdr:row>
                    <xdr:rowOff>47625</xdr:rowOff>
                  </to>
                </anchor>
              </controlPr>
            </control>
          </mc:Choice>
        </mc:AlternateContent>
        <mc:AlternateContent xmlns:mc="http://schemas.openxmlformats.org/markup-compatibility/2006">
          <mc:Choice Requires="x14">
            <control shapeId="224336" r:id="rId84" name="Check Box 80">
              <controlPr defaultSize="0" autoFill="0" autoLine="0" autoPict="0">
                <anchor moveWithCells="1">
                  <from>
                    <xdr:col>3</xdr:col>
                    <xdr:colOff>0</xdr:colOff>
                    <xdr:row>40</xdr:row>
                    <xdr:rowOff>95250</xdr:rowOff>
                  </from>
                  <to>
                    <xdr:col>4</xdr:col>
                    <xdr:colOff>76200</xdr:colOff>
                    <xdr:row>42</xdr:row>
                    <xdr:rowOff>47625</xdr:rowOff>
                  </to>
                </anchor>
              </controlPr>
            </control>
          </mc:Choice>
        </mc:AlternateContent>
        <mc:AlternateContent xmlns:mc="http://schemas.openxmlformats.org/markup-compatibility/2006">
          <mc:Choice Requires="x14">
            <control shapeId="224337" r:id="rId85" name="Check Box 81">
              <controlPr defaultSize="0" autoFill="0" autoLine="0" autoPict="0">
                <anchor moveWithCells="1">
                  <from>
                    <xdr:col>3</xdr:col>
                    <xdr:colOff>0</xdr:colOff>
                    <xdr:row>39</xdr:row>
                    <xdr:rowOff>95250</xdr:rowOff>
                  </from>
                  <to>
                    <xdr:col>4</xdr:col>
                    <xdr:colOff>76200</xdr:colOff>
                    <xdr:row>41</xdr:row>
                    <xdr:rowOff>47625</xdr:rowOff>
                  </to>
                </anchor>
              </controlPr>
            </control>
          </mc:Choice>
        </mc:AlternateContent>
        <mc:AlternateContent xmlns:mc="http://schemas.openxmlformats.org/markup-compatibility/2006">
          <mc:Choice Requires="x14">
            <control shapeId="224338" r:id="rId86" name="Check Box 82">
              <controlPr defaultSize="0" autoFill="0" autoLine="0" autoPict="0">
                <anchor moveWithCells="1">
                  <from>
                    <xdr:col>3</xdr:col>
                    <xdr:colOff>0</xdr:colOff>
                    <xdr:row>38</xdr:row>
                    <xdr:rowOff>95250</xdr:rowOff>
                  </from>
                  <to>
                    <xdr:col>4</xdr:col>
                    <xdr:colOff>76200</xdr:colOff>
                    <xdr:row>40</xdr:row>
                    <xdr:rowOff>47625</xdr:rowOff>
                  </to>
                </anchor>
              </controlPr>
            </control>
          </mc:Choice>
        </mc:AlternateContent>
        <mc:AlternateContent xmlns:mc="http://schemas.openxmlformats.org/markup-compatibility/2006">
          <mc:Choice Requires="x14">
            <control shapeId="224339" r:id="rId87" name="Check Box 83">
              <controlPr defaultSize="0" autoFill="0" autoLine="0" autoPict="0">
                <anchor moveWithCells="1">
                  <from>
                    <xdr:col>3</xdr:col>
                    <xdr:colOff>0</xdr:colOff>
                    <xdr:row>37</xdr:row>
                    <xdr:rowOff>95250</xdr:rowOff>
                  </from>
                  <to>
                    <xdr:col>4</xdr:col>
                    <xdr:colOff>76200</xdr:colOff>
                    <xdr:row>39</xdr:row>
                    <xdr:rowOff>47625</xdr:rowOff>
                  </to>
                </anchor>
              </controlPr>
            </control>
          </mc:Choice>
        </mc:AlternateContent>
        <mc:AlternateContent xmlns:mc="http://schemas.openxmlformats.org/markup-compatibility/2006">
          <mc:Choice Requires="x14">
            <control shapeId="224340" r:id="rId88" name="Check Box 84">
              <controlPr defaultSize="0" autoFill="0" autoLine="0" autoPict="0">
                <anchor moveWithCells="1">
                  <from>
                    <xdr:col>3</xdr:col>
                    <xdr:colOff>0</xdr:colOff>
                    <xdr:row>36</xdr:row>
                    <xdr:rowOff>133350</xdr:rowOff>
                  </from>
                  <to>
                    <xdr:col>4</xdr:col>
                    <xdr:colOff>76200</xdr:colOff>
                    <xdr:row>38</xdr:row>
                    <xdr:rowOff>47625</xdr:rowOff>
                  </to>
                </anchor>
              </controlPr>
            </control>
          </mc:Choice>
        </mc:AlternateContent>
        <mc:AlternateContent xmlns:mc="http://schemas.openxmlformats.org/markup-compatibility/2006">
          <mc:Choice Requires="x14">
            <control shapeId="224343" r:id="rId89" name="Check Box 87">
              <controlPr defaultSize="0" autoFill="0" autoLine="0" autoPict="0">
                <anchor moveWithCells="1">
                  <from>
                    <xdr:col>3</xdr:col>
                    <xdr:colOff>0</xdr:colOff>
                    <xdr:row>16</xdr:row>
                    <xdr:rowOff>161925</xdr:rowOff>
                  </from>
                  <to>
                    <xdr:col>4</xdr:col>
                    <xdr:colOff>76200</xdr:colOff>
                    <xdr:row>18</xdr:row>
                    <xdr:rowOff>38100</xdr:rowOff>
                  </to>
                </anchor>
              </controlPr>
            </control>
          </mc:Choice>
        </mc:AlternateContent>
        <mc:AlternateContent xmlns:mc="http://schemas.openxmlformats.org/markup-compatibility/2006">
          <mc:Choice Requires="x14">
            <control shapeId="224345" r:id="rId90" name="Check Box 89">
              <controlPr defaultSize="0" autoFill="0" autoLine="0" autoPict="0">
                <anchor moveWithCells="1">
                  <from>
                    <xdr:col>44</xdr:col>
                    <xdr:colOff>9525</xdr:colOff>
                    <xdr:row>57</xdr:row>
                    <xdr:rowOff>133350</xdr:rowOff>
                  </from>
                  <to>
                    <xdr:col>45</xdr:col>
                    <xdr:colOff>76200</xdr:colOff>
                    <xdr:row>59</xdr:row>
                    <xdr:rowOff>9525</xdr:rowOff>
                  </to>
                </anchor>
              </controlPr>
            </control>
          </mc:Choice>
        </mc:AlternateContent>
        <mc:AlternateContent xmlns:mc="http://schemas.openxmlformats.org/markup-compatibility/2006">
          <mc:Choice Requires="x14">
            <control shapeId="224346" r:id="rId91" name="Check Box 90">
              <controlPr defaultSize="0" autoFill="0" autoLine="0" autoPict="0">
                <anchor moveWithCells="1">
                  <from>
                    <xdr:col>43</xdr:col>
                    <xdr:colOff>0</xdr:colOff>
                    <xdr:row>54</xdr:row>
                    <xdr:rowOff>276225</xdr:rowOff>
                  </from>
                  <to>
                    <xdr:col>44</xdr:col>
                    <xdr:colOff>66675</xdr:colOff>
                    <xdr:row>56</xdr:row>
                    <xdr:rowOff>28575</xdr:rowOff>
                  </to>
                </anchor>
              </controlPr>
            </control>
          </mc:Choice>
        </mc:AlternateContent>
        <mc:AlternateContent xmlns:mc="http://schemas.openxmlformats.org/markup-compatibility/2006">
          <mc:Choice Requires="x14">
            <control shapeId="224347" r:id="rId92" name="Check Box 91">
              <controlPr defaultSize="0" autoFill="0" autoLine="0" autoPict="0">
                <anchor moveWithCells="1">
                  <from>
                    <xdr:col>43</xdr:col>
                    <xdr:colOff>0</xdr:colOff>
                    <xdr:row>59</xdr:row>
                    <xdr:rowOff>276225</xdr:rowOff>
                  </from>
                  <to>
                    <xdr:col>44</xdr:col>
                    <xdr:colOff>66675</xdr:colOff>
                    <xdr:row>61</xdr:row>
                    <xdr:rowOff>66675</xdr:rowOff>
                  </to>
                </anchor>
              </controlPr>
            </control>
          </mc:Choice>
        </mc:AlternateContent>
        <mc:AlternateContent xmlns:mc="http://schemas.openxmlformats.org/markup-compatibility/2006">
          <mc:Choice Requires="x14">
            <control shapeId="224348" r:id="rId93" name="Check Box 92">
              <controlPr defaultSize="0" autoFill="0" autoLine="0" autoPict="0">
                <anchor moveWithCells="1">
                  <from>
                    <xdr:col>44</xdr:col>
                    <xdr:colOff>0</xdr:colOff>
                    <xdr:row>60</xdr:row>
                    <xdr:rowOff>152400</xdr:rowOff>
                  </from>
                  <to>
                    <xdr:col>45</xdr:col>
                    <xdr:colOff>66675</xdr:colOff>
                    <xdr:row>62</xdr:row>
                    <xdr:rowOff>28575</xdr:rowOff>
                  </to>
                </anchor>
              </controlPr>
            </control>
          </mc:Choice>
        </mc:AlternateContent>
        <mc:AlternateContent xmlns:mc="http://schemas.openxmlformats.org/markup-compatibility/2006">
          <mc:Choice Requires="x14">
            <control shapeId="224349" r:id="rId94" name="Check Box 93">
              <controlPr defaultSize="0" autoFill="0" autoLine="0" autoPict="0">
                <anchor moveWithCells="1">
                  <from>
                    <xdr:col>44</xdr:col>
                    <xdr:colOff>9525</xdr:colOff>
                    <xdr:row>61</xdr:row>
                    <xdr:rowOff>133350</xdr:rowOff>
                  </from>
                  <to>
                    <xdr:col>45</xdr:col>
                    <xdr:colOff>76200</xdr:colOff>
                    <xdr:row>63</xdr:row>
                    <xdr:rowOff>9525</xdr:rowOff>
                  </to>
                </anchor>
              </controlPr>
            </control>
          </mc:Choice>
        </mc:AlternateContent>
        <mc:AlternateContent xmlns:mc="http://schemas.openxmlformats.org/markup-compatibility/2006">
          <mc:Choice Requires="x14">
            <control shapeId="224350" r:id="rId95" name="Check Box 94">
              <controlPr defaultSize="0" autoFill="0" autoLine="0" autoPict="0">
                <anchor moveWithCells="1">
                  <from>
                    <xdr:col>44</xdr:col>
                    <xdr:colOff>9525</xdr:colOff>
                    <xdr:row>62</xdr:row>
                    <xdr:rowOff>133350</xdr:rowOff>
                  </from>
                  <to>
                    <xdr:col>45</xdr:col>
                    <xdr:colOff>76200</xdr:colOff>
                    <xdr:row>64</xdr:row>
                    <xdr:rowOff>9525</xdr:rowOff>
                  </to>
                </anchor>
              </controlPr>
            </control>
          </mc:Choice>
        </mc:AlternateContent>
        <mc:AlternateContent xmlns:mc="http://schemas.openxmlformats.org/markup-compatibility/2006">
          <mc:Choice Requires="x14">
            <control shapeId="224352" r:id="rId96" name="Check Box 96">
              <controlPr defaultSize="0" autoFill="0" autoLine="0" autoPict="0">
                <anchor moveWithCells="1">
                  <from>
                    <xdr:col>24</xdr:col>
                    <xdr:colOff>0</xdr:colOff>
                    <xdr:row>61</xdr:row>
                    <xdr:rowOff>152400</xdr:rowOff>
                  </from>
                  <to>
                    <xdr:col>25</xdr:col>
                    <xdr:colOff>66675</xdr:colOff>
                    <xdr:row>63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F918-B2F2-4D36-AB8E-83A7919837DA}">
  <dimension ref="A1:C1043"/>
  <sheetViews>
    <sheetView workbookViewId="0">
      <selection activeCell="H33" sqref="H33"/>
    </sheetView>
  </sheetViews>
  <sheetFormatPr defaultColWidth="12.125" defaultRowHeight="13.5"/>
  <cols>
    <col min="1" max="16384" width="12.125" style="1199"/>
  </cols>
  <sheetData>
    <row r="1" spans="1:3">
      <c r="A1" s="1199" t="s">
        <v>2430</v>
      </c>
      <c r="B1" s="1199" t="s">
        <v>4084</v>
      </c>
      <c r="C1" s="1199" t="s">
        <v>4083</v>
      </c>
    </row>
    <row r="2" spans="1:3">
      <c r="A2" s="1200">
        <v>36892</v>
      </c>
      <c r="B2" s="1199" t="s">
        <v>4078</v>
      </c>
      <c r="C2" s="1199" t="s">
        <v>4</v>
      </c>
    </row>
    <row r="3" spans="1:3">
      <c r="A3" s="1200">
        <v>36899</v>
      </c>
      <c r="B3" s="1199" t="s">
        <v>4076</v>
      </c>
      <c r="C3" s="1199" t="s">
        <v>4</v>
      </c>
    </row>
    <row r="4" spans="1:3">
      <c r="A4" s="1200">
        <v>36933</v>
      </c>
      <c r="B4" s="1199" t="s">
        <v>4075</v>
      </c>
      <c r="C4" s="1199" t="s">
        <v>373</v>
      </c>
    </row>
    <row r="5" spans="1:3">
      <c r="A5" s="1200">
        <v>36934</v>
      </c>
      <c r="B5" s="1199" t="s">
        <v>4072</v>
      </c>
      <c r="C5" s="1199" t="s">
        <v>4</v>
      </c>
    </row>
    <row r="6" spans="1:3">
      <c r="A6" s="1200">
        <v>36970</v>
      </c>
      <c r="B6" s="1199" t="s">
        <v>4073</v>
      </c>
      <c r="C6" s="1199" t="s">
        <v>4069</v>
      </c>
    </row>
    <row r="7" spans="1:3">
      <c r="A7" s="1200">
        <v>37010</v>
      </c>
      <c r="B7" s="1199" t="s">
        <v>4068</v>
      </c>
      <c r="C7" s="1199" t="s">
        <v>373</v>
      </c>
    </row>
    <row r="8" spans="1:3">
      <c r="A8" s="1200">
        <v>37011</v>
      </c>
      <c r="B8" s="1199" t="s">
        <v>4072</v>
      </c>
      <c r="C8" s="1199" t="s">
        <v>4</v>
      </c>
    </row>
    <row r="9" spans="1:3">
      <c r="A9" s="1200">
        <v>37014</v>
      </c>
      <c r="B9" s="1199" t="s">
        <v>4070</v>
      </c>
      <c r="C9" s="1199" t="s">
        <v>4059</v>
      </c>
    </row>
    <row r="10" spans="1:3">
      <c r="A10" s="1200">
        <v>37015</v>
      </c>
      <c r="B10" s="1199" t="s">
        <v>4079</v>
      </c>
      <c r="C10" s="1199" t="s">
        <v>4062</v>
      </c>
    </row>
    <row r="11" spans="1:3">
      <c r="A11" s="1200">
        <v>37016</v>
      </c>
      <c r="B11" s="1199" t="s">
        <v>4067</v>
      </c>
      <c r="C11" s="1199" t="s">
        <v>4077</v>
      </c>
    </row>
    <row r="12" spans="1:3">
      <c r="A12" s="1200">
        <v>37092</v>
      </c>
      <c r="B12" s="1199" t="s">
        <v>4066</v>
      </c>
      <c r="C12" s="1199" t="s">
        <v>4062</v>
      </c>
    </row>
    <row r="13" spans="1:3">
      <c r="A13" s="1200">
        <v>37149</v>
      </c>
      <c r="B13" s="1199" t="s">
        <v>4064</v>
      </c>
      <c r="C13" s="1199" t="s">
        <v>4077</v>
      </c>
    </row>
    <row r="14" spans="1:3">
      <c r="A14" s="1200">
        <v>37157</v>
      </c>
      <c r="B14" s="1199" t="s">
        <v>4063</v>
      </c>
      <c r="C14" s="1199" t="s">
        <v>373</v>
      </c>
    </row>
    <row r="15" spans="1:3">
      <c r="A15" s="1200">
        <v>37158</v>
      </c>
      <c r="B15" s="1199" t="s">
        <v>4072</v>
      </c>
      <c r="C15" s="1199" t="s">
        <v>4</v>
      </c>
    </row>
    <row r="16" spans="1:3">
      <c r="A16" s="1200">
        <v>37172</v>
      </c>
      <c r="B16" s="1199" t="s">
        <v>4081</v>
      </c>
      <c r="C16" s="1199" t="s">
        <v>4</v>
      </c>
    </row>
    <row r="17" spans="1:3">
      <c r="A17" s="1200">
        <v>37198</v>
      </c>
      <c r="B17" s="1199" t="s">
        <v>4060</v>
      </c>
      <c r="C17" s="1199" t="s">
        <v>4077</v>
      </c>
    </row>
    <row r="18" spans="1:3">
      <c r="A18" s="1200">
        <v>37218</v>
      </c>
      <c r="B18" s="1199" t="s">
        <v>4058</v>
      </c>
      <c r="C18" s="1199" t="s">
        <v>4062</v>
      </c>
    </row>
    <row r="19" spans="1:3">
      <c r="A19" s="1200">
        <v>37248</v>
      </c>
      <c r="B19" s="1199" t="s">
        <v>4074</v>
      </c>
      <c r="C19" s="1199" t="s">
        <v>373</v>
      </c>
    </row>
    <row r="20" spans="1:3">
      <c r="A20" s="1200">
        <v>37249</v>
      </c>
      <c r="B20" s="1199" t="s">
        <v>4072</v>
      </c>
      <c r="C20" s="1199" t="s">
        <v>4</v>
      </c>
    </row>
    <row r="21" spans="1:3">
      <c r="A21" s="1200">
        <v>37257</v>
      </c>
      <c r="B21" s="1199" t="s">
        <v>4078</v>
      </c>
      <c r="C21" s="1199" t="s">
        <v>4069</v>
      </c>
    </row>
    <row r="22" spans="1:3">
      <c r="A22" s="1200">
        <v>37270</v>
      </c>
      <c r="B22" s="1199" t="s">
        <v>4076</v>
      </c>
      <c r="C22" s="1199" t="s">
        <v>4</v>
      </c>
    </row>
    <row r="23" spans="1:3">
      <c r="A23" s="1200">
        <v>37298</v>
      </c>
      <c r="B23" s="1199" t="s">
        <v>4075</v>
      </c>
      <c r="C23" s="1199" t="s">
        <v>4</v>
      </c>
    </row>
    <row r="24" spans="1:3">
      <c r="A24" s="1200">
        <v>37336</v>
      </c>
      <c r="B24" s="1199" t="s">
        <v>4073</v>
      </c>
      <c r="C24" s="1199" t="s">
        <v>4059</v>
      </c>
    </row>
    <row r="25" spans="1:3">
      <c r="A25" s="1200">
        <v>37375</v>
      </c>
      <c r="B25" s="1199" t="s">
        <v>4068</v>
      </c>
      <c r="C25" s="1199" t="s">
        <v>4</v>
      </c>
    </row>
    <row r="26" spans="1:3">
      <c r="A26" s="1200">
        <v>37379</v>
      </c>
      <c r="B26" s="1199" t="s">
        <v>4070</v>
      </c>
      <c r="C26" s="1199" t="s">
        <v>4062</v>
      </c>
    </row>
    <row r="27" spans="1:3">
      <c r="A27" s="1200">
        <v>37380</v>
      </c>
      <c r="B27" s="1199" t="s">
        <v>4079</v>
      </c>
      <c r="C27" s="1199" t="s">
        <v>4077</v>
      </c>
    </row>
    <row r="28" spans="1:3">
      <c r="A28" s="1200">
        <v>37381</v>
      </c>
      <c r="B28" s="1199" t="s">
        <v>4067</v>
      </c>
      <c r="C28" s="1199" t="s">
        <v>373</v>
      </c>
    </row>
    <row r="29" spans="1:3">
      <c r="A29" s="1200">
        <v>37382</v>
      </c>
      <c r="B29" s="1199" t="s">
        <v>4072</v>
      </c>
      <c r="C29" s="1199" t="s">
        <v>4</v>
      </c>
    </row>
    <row r="30" spans="1:3">
      <c r="A30" s="1200">
        <v>37457</v>
      </c>
      <c r="B30" s="1199" t="s">
        <v>4066</v>
      </c>
      <c r="C30" s="1199" t="s">
        <v>4077</v>
      </c>
    </row>
    <row r="31" spans="1:3">
      <c r="A31" s="1200">
        <v>37514</v>
      </c>
      <c r="B31" s="1199" t="s">
        <v>4064</v>
      </c>
      <c r="C31" s="1199" t="s">
        <v>373</v>
      </c>
    </row>
    <row r="32" spans="1:3">
      <c r="A32" s="1200">
        <v>37515</v>
      </c>
      <c r="B32" s="1199" t="s">
        <v>4072</v>
      </c>
      <c r="C32" s="1199" t="s">
        <v>4</v>
      </c>
    </row>
    <row r="33" spans="1:3">
      <c r="A33" s="1200">
        <v>37522</v>
      </c>
      <c r="B33" s="1199" t="s">
        <v>4063</v>
      </c>
      <c r="C33" s="1199" t="s">
        <v>4</v>
      </c>
    </row>
    <row r="34" spans="1:3">
      <c r="A34" s="1200">
        <v>37543</v>
      </c>
      <c r="B34" s="1199" t="s">
        <v>4081</v>
      </c>
      <c r="C34" s="1199" t="s">
        <v>4</v>
      </c>
    </row>
    <row r="35" spans="1:3">
      <c r="A35" s="1200">
        <v>37563</v>
      </c>
      <c r="B35" s="1199" t="s">
        <v>4060</v>
      </c>
      <c r="C35" s="1199" t="s">
        <v>373</v>
      </c>
    </row>
    <row r="36" spans="1:3">
      <c r="A36" s="1200">
        <v>37564</v>
      </c>
      <c r="B36" s="1199" t="s">
        <v>4072</v>
      </c>
      <c r="C36" s="1199" t="s">
        <v>4</v>
      </c>
    </row>
    <row r="37" spans="1:3">
      <c r="A37" s="1200">
        <v>37583</v>
      </c>
      <c r="B37" s="1199" t="s">
        <v>4058</v>
      </c>
      <c r="C37" s="1199" t="s">
        <v>4077</v>
      </c>
    </row>
    <row r="38" spans="1:3">
      <c r="A38" s="1200">
        <v>37613</v>
      </c>
      <c r="B38" s="1199" t="s">
        <v>4074</v>
      </c>
      <c r="C38" s="1199" t="s">
        <v>4</v>
      </c>
    </row>
    <row r="39" spans="1:3">
      <c r="A39" s="1200">
        <v>37622</v>
      </c>
      <c r="B39" s="1199" t="s">
        <v>4078</v>
      </c>
      <c r="C39" s="1199" t="s">
        <v>4057</v>
      </c>
    </row>
    <row r="40" spans="1:3">
      <c r="A40" s="1200">
        <v>37634</v>
      </c>
      <c r="B40" s="1199" t="s">
        <v>4076</v>
      </c>
      <c r="C40" s="1199" t="s">
        <v>4</v>
      </c>
    </row>
    <row r="41" spans="1:3">
      <c r="A41" s="1200">
        <v>37663</v>
      </c>
      <c r="B41" s="1199" t="s">
        <v>4075</v>
      </c>
      <c r="C41" s="1199" t="s">
        <v>4069</v>
      </c>
    </row>
    <row r="42" spans="1:3">
      <c r="A42" s="1200">
        <v>37701</v>
      </c>
      <c r="B42" s="1199" t="s">
        <v>4073</v>
      </c>
      <c r="C42" s="1199" t="s">
        <v>4062</v>
      </c>
    </row>
    <row r="43" spans="1:3">
      <c r="A43" s="1200">
        <v>37740</v>
      </c>
      <c r="B43" s="1199" t="s">
        <v>4068</v>
      </c>
      <c r="C43" s="1199" t="s">
        <v>4069</v>
      </c>
    </row>
    <row r="44" spans="1:3">
      <c r="A44" s="1200">
        <v>37744</v>
      </c>
      <c r="B44" s="1199" t="s">
        <v>4070</v>
      </c>
      <c r="C44" s="1199" t="s">
        <v>4077</v>
      </c>
    </row>
    <row r="45" spans="1:3">
      <c r="A45" s="1200">
        <v>37746</v>
      </c>
      <c r="B45" s="1199" t="s">
        <v>4067</v>
      </c>
      <c r="C45" s="1199" t="s">
        <v>4</v>
      </c>
    </row>
    <row r="46" spans="1:3">
      <c r="A46" s="1200">
        <v>37823</v>
      </c>
      <c r="B46" s="1199" t="s">
        <v>4066</v>
      </c>
      <c r="C46" s="1199" t="s">
        <v>4</v>
      </c>
    </row>
    <row r="47" spans="1:3">
      <c r="A47" s="1200">
        <v>37879</v>
      </c>
      <c r="B47" s="1199" t="s">
        <v>4064</v>
      </c>
      <c r="C47" s="1199" t="s">
        <v>4</v>
      </c>
    </row>
    <row r="48" spans="1:3">
      <c r="A48" s="1200">
        <v>37887</v>
      </c>
      <c r="B48" s="1199" t="s">
        <v>4063</v>
      </c>
      <c r="C48" s="1199" t="s">
        <v>4069</v>
      </c>
    </row>
    <row r="49" spans="1:3">
      <c r="A49" s="1200">
        <v>37907</v>
      </c>
      <c r="B49" s="1199" t="s">
        <v>4081</v>
      </c>
      <c r="C49" s="1199" t="s">
        <v>4</v>
      </c>
    </row>
    <row r="50" spans="1:3">
      <c r="A50" s="1200">
        <v>37928</v>
      </c>
      <c r="B50" s="1199" t="s">
        <v>4060</v>
      </c>
      <c r="C50" s="1199" t="s">
        <v>4</v>
      </c>
    </row>
    <row r="51" spans="1:3">
      <c r="A51" s="1200">
        <v>37948</v>
      </c>
      <c r="B51" s="1199" t="s">
        <v>4058</v>
      </c>
      <c r="C51" s="1199" t="s">
        <v>373</v>
      </c>
    </row>
    <row r="52" spans="1:3">
      <c r="A52" s="1200">
        <v>37949</v>
      </c>
      <c r="B52" s="1199" t="s">
        <v>4072</v>
      </c>
      <c r="C52" s="1199" t="s">
        <v>4</v>
      </c>
    </row>
    <row r="53" spans="1:3">
      <c r="A53" s="1200">
        <v>37978</v>
      </c>
      <c r="B53" s="1199" t="s">
        <v>4074</v>
      </c>
      <c r="C53" s="1199" t="s">
        <v>4069</v>
      </c>
    </row>
    <row r="54" spans="1:3">
      <c r="A54" s="1200">
        <v>37987</v>
      </c>
      <c r="B54" s="1199" t="s">
        <v>4078</v>
      </c>
      <c r="C54" s="1199" t="s">
        <v>4059</v>
      </c>
    </row>
    <row r="55" spans="1:3">
      <c r="A55" s="1200">
        <v>37998</v>
      </c>
      <c r="B55" s="1199" t="s">
        <v>4076</v>
      </c>
      <c r="C55" s="1199" t="s">
        <v>4</v>
      </c>
    </row>
    <row r="56" spans="1:3">
      <c r="A56" s="1200">
        <v>38028</v>
      </c>
      <c r="B56" s="1199" t="s">
        <v>4075</v>
      </c>
      <c r="C56" s="1199" t="s">
        <v>4057</v>
      </c>
    </row>
    <row r="57" spans="1:3">
      <c r="A57" s="1200">
        <v>38066</v>
      </c>
      <c r="B57" s="1199" t="s">
        <v>4073</v>
      </c>
      <c r="C57" s="1199" t="s">
        <v>4077</v>
      </c>
    </row>
    <row r="58" spans="1:3">
      <c r="A58" s="1200">
        <v>38106</v>
      </c>
      <c r="B58" s="1199" t="s">
        <v>4068</v>
      </c>
      <c r="C58" s="1199" t="s">
        <v>4059</v>
      </c>
    </row>
    <row r="59" spans="1:3">
      <c r="A59" s="1200">
        <v>38110</v>
      </c>
      <c r="B59" s="1199" t="s">
        <v>4070</v>
      </c>
      <c r="C59" s="1199" t="s">
        <v>4</v>
      </c>
    </row>
    <row r="60" spans="1:3">
      <c r="A60" s="1200">
        <v>38111</v>
      </c>
      <c r="B60" s="1199" t="s">
        <v>4079</v>
      </c>
      <c r="C60" s="1199" t="s">
        <v>4069</v>
      </c>
    </row>
    <row r="61" spans="1:3">
      <c r="A61" s="1200">
        <v>38112</v>
      </c>
      <c r="B61" s="1199" t="s">
        <v>4067</v>
      </c>
      <c r="C61" s="1199" t="s">
        <v>4057</v>
      </c>
    </row>
    <row r="62" spans="1:3">
      <c r="A62" s="1200">
        <v>38187</v>
      </c>
      <c r="B62" s="1199" t="s">
        <v>4066</v>
      </c>
      <c r="C62" s="1199" t="s">
        <v>4</v>
      </c>
    </row>
    <row r="63" spans="1:3">
      <c r="A63" s="1200">
        <v>38250</v>
      </c>
      <c r="B63" s="1199" t="s">
        <v>4064</v>
      </c>
      <c r="C63" s="1199" t="s">
        <v>4</v>
      </c>
    </row>
    <row r="64" spans="1:3">
      <c r="A64" s="1200">
        <v>38253</v>
      </c>
      <c r="B64" s="1199" t="s">
        <v>4063</v>
      </c>
      <c r="C64" s="1199" t="s">
        <v>4059</v>
      </c>
    </row>
    <row r="65" spans="1:3">
      <c r="A65" s="1200">
        <v>38271</v>
      </c>
      <c r="B65" s="1199" t="s">
        <v>4081</v>
      </c>
      <c r="C65" s="1199" t="s">
        <v>4</v>
      </c>
    </row>
    <row r="66" spans="1:3">
      <c r="A66" s="1200">
        <v>38294</v>
      </c>
      <c r="B66" s="1199" t="s">
        <v>4060</v>
      </c>
      <c r="C66" s="1199" t="s">
        <v>4057</v>
      </c>
    </row>
    <row r="67" spans="1:3">
      <c r="A67" s="1200">
        <v>38314</v>
      </c>
      <c r="B67" s="1199" t="s">
        <v>4058</v>
      </c>
      <c r="C67" s="1199" t="s">
        <v>4069</v>
      </c>
    </row>
    <row r="68" spans="1:3">
      <c r="A68" s="1200">
        <v>38344</v>
      </c>
      <c r="B68" s="1199" t="s">
        <v>4074</v>
      </c>
      <c r="C68" s="1199" t="s">
        <v>4059</v>
      </c>
    </row>
    <row r="69" spans="1:3">
      <c r="A69" s="1200">
        <v>38353</v>
      </c>
      <c r="B69" s="1199" t="s">
        <v>4078</v>
      </c>
      <c r="C69" s="1199" t="s">
        <v>4077</v>
      </c>
    </row>
    <row r="70" spans="1:3">
      <c r="A70" s="1200">
        <v>38362</v>
      </c>
      <c r="B70" s="1199" t="s">
        <v>4076</v>
      </c>
      <c r="C70" s="1199" t="s">
        <v>4</v>
      </c>
    </row>
    <row r="71" spans="1:3">
      <c r="A71" s="1200">
        <v>38394</v>
      </c>
      <c r="B71" s="1199" t="s">
        <v>4075</v>
      </c>
      <c r="C71" s="1199" t="s">
        <v>4062</v>
      </c>
    </row>
    <row r="72" spans="1:3">
      <c r="A72" s="1200">
        <v>38431</v>
      </c>
      <c r="B72" s="1199" t="s">
        <v>4073</v>
      </c>
      <c r="C72" s="1199" t="s">
        <v>373</v>
      </c>
    </row>
    <row r="73" spans="1:3">
      <c r="A73" s="1200">
        <v>38432</v>
      </c>
      <c r="B73" s="1199" t="s">
        <v>4072</v>
      </c>
      <c r="C73" s="1199" t="s">
        <v>4</v>
      </c>
    </row>
    <row r="74" spans="1:3">
      <c r="A74" s="1200">
        <v>38471</v>
      </c>
      <c r="B74" s="1199" t="s">
        <v>4068</v>
      </c>
      <c r="C74" s="1199" t="s">
        <v>4062</v>
      </c>
    </row>
    <row r="75" spans="1:3">
      <c r="A75" s="1200">
        <v>38475</v>
      </c>
      <c r="B75" s="1199" t="s">
        <v>4070</v>
      </c>
      <c r="C75" s="1199" t="s">
        <v>4069</v>
      </c>
    </row>
    <row r="76" spans="1:3">
      <c r="A76" s="1200">
        <v>38476</v>
      </c>
      <c r="B76" s="1199" t="s">
        <v>4079</v>
      </c>
      <c r="C76" s="1199" t="s">
        <v>4057</v>
      </c>
    </row>
    <row r="77" spans="1:3">
      <c r="A77" s="1200">
        <v>38477</v>
      </c>
      <c r="B77" s="1199" t="s">
        <v>4067</v>
      </c>
      <c r="C77" s="1199" t="s">
        <v>4059</v>
      </c>
    </row>
    <row r="78" spans="1:3">
      <c r="A78" s="1200">
        <v>38551</v>
      </c>
      <c r="B78" s="1199" t="s">
        <v>4066</v>
      </c>
      <c r="C78" s="1199" t="s">
        <v>4</v>
      </c>
    </row>
    <row r="79" spans="1:3">
      <c r="A79" s="1200">
        <v>38614</v>
      </c>
      <c r="B79" s="1199" t="s">
        <v>4064</v>
      </c>
      <c r="C79" s="1199" t="s">
        <v>4</v>
      </c>
    </row>
    <row r="80" spans="1:3">
      <c r="A80" s="1200">
        <v>38618</v>
      </c>
      <c r="B80" s="1199" t="s">
        <v>4063</v>
      </c>
      <c r="C80" s="1199" t="s">
        <v>4062</v>
      </c>
    </row>
    <row r="81" spans="1:3">
      <c r="A81" s="1200">
        <v>38635</v>
      </c>
      <c r="B81" s="1199" t="s">
        <v>4081</v>
      </c>
      <c r="C81" s="1199" t="s">
        <v>4</v>
      </c>
    </row>
    <row r="82" spans="1:3">
      <c r="A82" s="1200">
        <v>38659</v>
      </c>
      <c r="B82" s="1199" t="s">
        <v>4060</v>
      </c>
      <c r="C82" s="1199" t="s">
        <v>4059</v>
      </c>
    </row>
    <row r="83" spans="1:3">
      <c r="A83" s="1200">
        <v>38679</v>
      </c>
      <c r="B83" s="1199" t="s">
        <v>4058</v>
      </c>
      <c r="C83" s="1199" t="s">
        <v>4057</v>
      </c>
    </row>
    <row r="84" spans="1:3">
      <c r="A84" s="1200">
        <v>38709</v>
      </c>
      <c r="B84" s="1199" t="s">
        <v>4074</v>
      </c>
      <c r="C84" s="1199" t="s">
        <v>4062</v>
      </c>
    </row>
    <row r="85" spans="1:3">
      <c r="A85" s="1200">
        <v>38718</v>
      </c>
      <c r="B85" s="1199" t="s">
        <v>4078</v>
      </c>
      <c r="C85" s="1199" t="s">
        <v>373</v>
      </c>
    </row>
    <row r="86" spans="1:3">
      <c r="A86" s="1200">
        <v>38719</v>
      </c>
      <c r="B86" s="1199" t="s">
        <v>4072</v>
      </c>
      <c r="C86" s="1199" t="s">
        <v>4</v>
      </c>
    </row>
    <row r="87" spans="1:3">
      <c r="A87" s="1200">
        <v>38726</v>
      </c>
      <c r="B87" s="1199" t="s">
        <v>4076</v>
      </c>
      <c r="C87" s="1199" t="s">
        <v>4</v>
      </c>
    </row>
    <row r="88" spans="1:3">
      <c r="A88" s="1200">
        <v>38759</v>
      </c>
      <c r="B88" s="1199" t="s">
        <v>4075</v>
      </c>
      <c r="C88" s="1199" t="s">
        <v>4077</v>
      </c>
    </row>
    <row r="89" spans="1:3">
      <c r="A89" s="1200">
        <v>38797</v>
      </c>
      <c r="B89" s="1199" t="s">
        <v>4073</v>
      </c>
      <c r="C89" s="1199" t="s">
        <v>4069</v>
      </c>
    </row>
    <row r="90" spans="1:3">
      <c r="A90" s="1200">
        <v>38836</v>
      </c>
      <c r="B90" s="1199" t="s">
        <v>4068</v>
      </c>
      <c r="C90" s="1199" t="s">
        <v>4077</v>
      </c>
    </row>
    <row r="91" spans="1:3">
      <c r="A91" s="1200">
        <v>38840</v>
      </c>
      <c r="B91" s="1199" t="s">
        <v>4070</v>
      </c>
      <c r="C91" s="1199" t="s">
        <v>4057</v>
      </c>
    </row>
    <row r="92" spans="1:3">
      <c r="A92" s="1200">
        <v>38841</v>
      </c>
      <c r="B92" s="1199" t="s">
        <v>4079</v>
      </c>
      <c r="C92" s="1199" t="s">
        <v>4059</v>
      </c>
    </row>
    <row r="93" spans="1:3">
      <c r="A93" s="1200">
        <v>38842</v>
      </c>
      <c r="B93" s="1199" t="s">
        <v>4067</v>
      </c>
      <c r="C93" s="1199" t="s">
        <v>4062</v>
      </c>
    </row>
    <row r="94" spans="1:3">
      <c r="A94" s="1200">
        <v>38915</v>
      </c>
      <c r="B94" s="1199" t="s">
        <v>4066</v>
      </c>
      <c r="C94" s="1199" t="s">
        <v>4</v>
      </c>
    </row>
    <row r="95" spans="1:3">
      <c r="A95" s="1200">
        <v>38978</v>
      </c>
      <c r="B95" s="1199" t="s">
        <v>4064</v>
      </c>
      <c r="C95" s="1199" t="s">
        <v>4</v>
      </c>
    </row>
    <row r="96" spans="1:3">
      <c r="A96" s="1200">
        <v>38983</v>
      </c>
      <c r="B96" s="1199" t="s">
        <v>4063</v>
      </c>
      <c r="C96" s="1199" t="s">
        <v>4077</v>
      </c>
    </row>
    <row r="97" spans="1:3">
      <c r="A97" s="1200">
        <v>38999</v>
      </c>
      <c r="B97" s="1199" t="s">
        <v>4081</v>
      </c>
      <c r="C97" s="1199" t="s">
        <v>4</v>
      </c>
    </row>
    <row r="98" spans="1:3">
      <c r="A98" s="1200">
        <v>39024</v>
      </c>
      <c r="B98" s="1199" t="s">
        <v>4060</v>
      </c>
      <c r="C98" s="1199" t="s">
        <v>4062</v>
      </c>
    </row>
    <row r="99" spans="1:3">
      <c r="A99" s="1200">
        <v>39044</v>
      </c>
      <c r="B99" s="1199" t="s">
        <v>4058</v>
      </c>
      <c r="C99" s="1199" t="s">
        <v>4059</v>
      </c>
    </row>
    <row r="100" spans="1:3">
      <c r="A100" s="1200">
        <v>39074</v>
      </c>
      <c r="B100" s="1199" t="s">
        <v>4074</v>
      </c>
      <c r="C100" s="1199" t="s">
        <v>4077</v>
      </c>
    </row>
    <row r="101" spans="1:3">
      <c r="A101" s="1200">
        <v>39083</v>
      </c>
      <c r="B101" s="1199" t="s">
        <v>4078</v>
      </c>
      <c r="C101" s="1199" t="s">
        <v>4</v>
      </c>
    </row>
    <row r="102" spans="1:3">
      <c r="A102" s="1200">
        <v>39090</v>
      </c>
      <c r="B102" s="1199" t="s">
        <v>4076</v>
      </c>
      <c r="C102" s="1199" t="s">
        <v>4</v>
      </c>
    </row>
    <row r="103" spans="1:3">
      <c r="A103" s="1200">
        <v>39124</v>
      </c>
      <c r="B103" s="1199" t="s">
        <v>4075</v>
      </c>
      <c r="C103" s="1199" t="s">
        <v>373</v>
      </c>
    </row>
    <row r="104" spans="1:3">
      <c r="A104" s="1200">
        <v>39125</v>
      </c>
      <c r="B104" s="1199" t="s">
        <v>4072</v>
      </c>
      <c r="C104" s="1199" t="s">
        <v>4</v>
      </c>
    </row>
    <row r="105" spans="1:3">
      <c r="A105" s="1200">
        <v>39162</v>
      </c>
      <c r="B105" s="1199" t="s">
        <v>4073</v>
      </c>
      <c r="C105" s="1199" t="s">
        <v>4057</v>
      </c>
    </row>
    <row r="106" spans="1:3">
      <c r="A106" s="1200">
        <v>39201</v>
      </c>
      <c r="B106" s="1199" t="s">
        <v>4071</v>
      </c>
      <c r="C106" s="1199" t="s">
        <v>373</v>
      </c>
    </row>
    <row r="107" spans="1:3">
      <c r="A107" s="1200">
        <v>39202</v>
      </c>
      <c r="B107" s="1199" t="s">
        <v>4072</v>
      </c>
      <c r="C107" s="1199" t="s">
        <v>4</v>
      </c>
    </row>
    <row r="108" spans="1:3">
      <c r="A108" s="1200">
        <v>39205</v>
      </c>
      <c r="B108" s="1199" t="s">
        <v>4070</v>
      </c>
      <c r="C108" s="1199" t="s">
        <v>4059</v>
      </c>
    </row>
    <row r="109" spans="1:3">
      <c r="A109" s="1200">
        <v>39206</v>
      </c>
      <c r="B109" s="1199" t="s">
        <v>4068</v>
      </c>
      <c r="C109" s="1199" t="s">
        <v>4062</v>
      </c>
    </row>
    <row r="110" spans="1:3">
      <c r="A110" s="1200">
        <v>39207</v>
      </c>
      <c r="B110" s="1199" t="s">
        <v>4067</v>
      </c>
      <c r="C110" s="1199" t="s">
        <v>4077</v>
      </c>
    </row>
    <row r="111" spans="1:3">
      <c r="A111" s="1200">
        <v>39279</v>
      </c>
      <c r="B111" s="1199" t="s">
        <v>4066</v>
      </c>
      <c r="C111" s="1199" t="s">
        <v>4</v>
      </c>
    </row>
    <row r="112" spans="1:3">
      <c r="A112" s="1200">
        <v>39342</v>
      </c>
      <c r="B112" s="1199" t="s">
        <v>4064</v>
      </c>
      <c r="C112" s="1199" t="s">
        <v>4</v>
      </c>
    </row>
    <row r="113" spans="1:3">
      <c r="A113" s="1200">
        <v>39348</v>
      </c>
      <c r="B113" s="1199" t="s">
        <v>4063</v>
      </c>
      <c r="C113" s="1199" t="s">
        <v>373</v>
      </c>
    </row>
    <row r="114" spans="1:3">
      <c r="A114" s="1200">
        <v>39349</v>
      </c>
      <c r="B114" s="1199" t="s">
        <v>4072</v>
      </c>
      <c r="C114" s="1199" t="s">
        <v>4</v>
      </c>
    </row>
    <row r="115" spans="1:3">
      <c r="A115" s="1200">
        <v>39363</v>
      </c>
      <c r="B115" s="1199" t="s">
        <v>4081</v>
      </c>
      <c r="C115" s="1199" t="s">
        <v>4</v>
      </c>
    </row>
    <row r="116" spans="1:3">
      <c r="A116" s="1200">
        <v>39389</v>
      </c>
      <c r="B116" s="1199" t="s">
        <v>4060</v>
      </c>
      <c r="C116" s="1199" t="s">
        <v>4077</v>
      </c>
    </row>
    <row r="117" spans="1:3">
      <c r="A117" s="1200">
        <v>39409</v>
      </c>
      <c r="B117" s="1199" t="s">
        <v>4058</v>
      </c>
      <c r="C117" s="1199" t="s">
        <v>4062</v>
      </c>
    </row>
    <row r="118" spans="1:3">
      <c r="A118" s="1200">
        <v>39439</v>
      </c>
      <c r="B118" s="1199" t="s">
        <v>4074</v>
      </c>
      <c r="C118" s="1199" t="s">
        <v>373</v>
      </c>
    </row>
    <row r="119" spans="1:3">
      <c r="A119" s="1200">
        <v>39440</v>
      </c>
      <c r="B119" s="1199" t="s">
        <v>4072</v>
      </c>
      <c r="C119" s="1199" t="s">
        <v>4</v>
      </c>
    </row>
    <row r="120" spans="1:3">
      <c r="A120" s="1200">
        <v>39448</v>
      </c>
      <c r="B120" s="1199" t="s">
        <v>4078</v>
      </c>
      <c r="C120" s="1199" t="s">
        <v>4069</v>
      </c>
    </row>
    <row r="121" spans="1:3">
      <c r="A121" s="1200">
        <v>39461</v>
      </c>
      <c r="B121" s="1199" t="s">
        <v>4076</v>
      </c>
      <c r="C121" s="1199" t="s">
        <v>4</v>
      </c>
    </row>
    <row r="122" spans="1:3">
      <c r="A122" s="1200">
        <v>39489</v>
      </c>
      <c r="B122" s="1199" t="s">
        <v>4075</v>
      </c>
      <c r="C122" s="1199" t="s">
        <v>4</v>
      </c>
    </row>
    <row r="123" spans="1:3">
      <c r="A123" s="1200">
        <v>39527</v>
      </c>
      <c r="B123" s="1199" t="s">
        <v>4073</v>
      </c>
      <c r="C123" s="1199" t="s">
        <v>4059</v>
      </c>
    </row>
    <row r="124" spans="1:3">
      <c r="A124" s="1200">
        <v>39567</v>
      </c>
      <c r="B124" s="1199" t="s">
        <v>4071</v>
      </c>
      <c r="C124" s="1199" t="s">
        <v>4069</v>
      </c>
    </row>
    <row r="125" spans="1:3">
      <c r="A125" s="1200">
        <v>39571</v>
      </c>
      <c r="B125" s="1199" t="s">
        <v>4070</v>
      </c>
      <c r="C125" s="1199" t="s">
        <v>4077</v>
      </c>
    </row>
    <row r="126" spans="1:3">
      <c r="A126" s="1200">
        <v>39572</v>
      </c>
      <c r="B126" s="1199" t="s">
        <v>4068</v>
      </c>
      <c r="C126" s="1199" t="s">
        <v>373</v>
      </c>
    </row>
    <row r="127" spans="1:3">
      <c r="A127" s="1200">
        <v>39573</v>
      </c>
      <c r="B127" s="1199" t="s">
        <v>4067</v>
      </c>
      <c r="C127" s="1199" t="s">
        <v>4</v>
      </c>
    </row>
    <row r="128" spans="1:3">
      <c r="A128" s="1200">
        <v>39574</v>
      </c>
      <c r="B128" s="1199" t="s">
        <v>4072</v>
      </c>
      <c r="C128" s="1199" t="s">
        <v>4069</v>
      </c>
    </row>
    <row r="129" spans="1:3">
      <c r="A129" s="1200">
        <v>39650</v>
      </c>
      <c r="B129" s="1199" t="s">
        <v>4066</v>
      </c>
      <c r="C129" s="1199" t="s">
        <v>4</v>
      </c>
    </row>
    <row r="130" spans="1:3">
      <c r="A130" s="1200">
        <v>39706</v>
      </c>
      <c r="B130" s="1199" t="s">
        <v>4064</v>
      </c>
      <c r="C130" s="1199" t="s">
        <v>4</v>
      </c>
    </row>
    <row r="131" spans="1:3">
      <c r="A131" s="1200">
        <v>39714</v>
      </c>
      <c r="B131" s="1199" t="s">
        <v>4063</v>
      </c>
      <c r="C131" s="1199" t="s">
        <v>4069</v>
      </c>
    </row>
    <row r="132" spans="1:3">
      <c r="A132" s="1200">
        <v>39734</v>
      </c>
      <c r="B132" s="1199" t="s">
        <v>4081</v>
      </c>
      <c r="C132" s="1199" t="s">
        <v>4</v>
      </c>
    </row>
    <row r="133" spans="1:3">
      <c r="A133" s="1200">
        <v>39755</v>
      </c>
      <c r="B133" s="1199" t="s">
        <v>4060</v>
      </c>
      <c r="C133" s="1199" t="s">
        <v>4</v>
      </c>
    </row>
    <row r="134" spans="1:3">
      <c r="A134" s="1200">
        <v>39775</v>
      </c>
      <c r="B134" s="1199" t="s">
        <v>4058</v>
      </c>
      <c r="C134" s="1199" t="s">
        <v>373</v>
      </c>
    </row>
    <row r="135" spans="1:3">
      <c r="A135" s="1200">
        <v>39776</v>
      </c>
      <c r="B135" s="1199" t="s">
        <v>4072</v>
      </c>
      <c r="C135" s="1199" t="s">
        <v>4</v>
      </c>
    </row>
    <row r="136" spans="1:3">
      <c r="A136" s="1200">
        <v>39805</v>
      </c>
      <c r="B136" s="1199" t="s">
        <v>4074</v>
      </c>
      <c r="C136" s="1199" t="s">
        <v>4069</v>
      </c>
    </row>
    <row r="137" spans="1:3">
      <c r="A137" s="1200">
        <v>39814</v>
      </c>
      <c r="B137" s="1199" t="s">
        <v>4078</v>
      </c>
      <c r="C137" s="1199" t="s">
        <v>4059</v>
      </c>
    </row>
    <row r="138" spans="1:3">
      <c r="A138" s="1200">
        <v>39825</v>
      </c>
      <c r="B138" s="1199" t="s">
        <v>4076</v>
      </c>
      <c r="C138" s="1199" t="s">
        <v>4</v>
      </c>
    </row>
    <row r="139" spans="1:3">
      <c r="A139" s="1200">
        <v>39855</v>
      </c>
      <c r="B139" s="1199" t="s">
        <v>4075</v>
      </c>
      <c r="C139" s="1199" t="s">
        <v>4057</v>
      </c>
    </row>
    <row r="140" spans="1:3">
      <c r="A140" s="1200">
        <v>39892</v>
      </c>
      <c r="B140" s="1199" t="s">
        <v>4073</v>
      </c>
      <c r="C140" s="1199" t="s">
        <v>4062</v>
      </c>
    </row>
    <row r="141" spans="1:3">
      <c r="A141" s="1200">
        <v>39932</v>
      </c>
      <c r="B141" s="1199" t="s">
        <v>4071</v>
      </c>
      <c r="C141" s="1199" t="s">
        <v>4057</v>
      </c>
    </row>
    <row r="142" spans="1:3">
      <c r="A142" s="1200">
        <v>39936</v>
      </c>
      <c r="B142" s="1199" t="s">
        <v>4070</v>
      </c>
      <c r="C142" s="1199" t="s">
        <v>373</v>
      </c>
    </row>
    <row r="143" spans="1:3">
      <c r="A143" s="1200">
        <v>39937</v>
      </c>
      <c r="B143" s="1199" t="s">
        <v>4068</v>
      </c>
      <c r="C143" s="1199" t="s">
        <v>4</v>
      </c>
    </row>
    <row r="144" spans="1:3">
      <c r="A144" s="1200">
        <v>39938</v>
      </c>
      <c r="B144" s="1199" t="s">
        <v>4067</v>
      </c>
      <c r="C144" s="1199" t="s">
        <v>4069</v>
      </c>
    </row>
    <row r="145" spans="1:3">
      <c r="A145" s="1200">
        <v>39939</v>
      </c>
      <c r="B145" s="1199" t="s">
        <v>4072</v>
      </c>
      <c r="C145" s="1199" t="s">
        <v>4057</v>
      </c>
    </row>
    <row r="146" spans="1:3">
      <c r="A146" s="1200">
        <v>40014</v>
      </c>
      <c r="B146" s="1199" t="s">
        <v>4066</v>
      </c>
      <c r="C146" s="1199" t="s">
        <v>4</v>
      </c>
    </row>
    <row r="147" spans="1:3">
      <c r="A147" s="1200">
        <v>40077</v>
      </c>
      <c r="B147" s="1199" t="s">
        <v>4064</v>
      </c>
      <c r="C147" s="1199" t="s">
        <v>4</v>
      </c>
    </row>
    <row r="148" spans="1:3">
      <c r="A148" s="1200">
        <v>40078</v>
      </c>
      <c r="B148" s="1199" t="s">
        <v>4079</v>
      </c>
      <c r="C148" s="1199" t="s">
        <v>4069</v>
      </c>
    </row>
    <row r="149" spans="1:3">
      <c r="A149" s="1200">
        <v>40079</v>
      </c>
      <c r="B149" s="1199" t="s">
        <v>4063</v>
      </c>
      <c r="C149" s="1199" t="s">
        <v>4057</v>
      </c>
    </row>
    <row r="150" spans="1:3">
      <c r="A150" s="1200">
        <v>40098</v>
      </c>
      <c r="B150" s="1199" t="s">
        <v>4081</v>
      </c>
      <c r="C150" s="1199" t="s">
        <v>4</v>
      </c>
    </row>
    <row r="151" spans="1:3">
      <c r="A151" s="1200">
        <v>40120</v>
      </c>
      <c r="B151" s="1199" t="s">
        <v>4060</v>
      </c>
      <c r="C151" s="1199" t="s">
        <v>4069</v>
      </c>
    </row>
    <row r="152" spans="1:3">
      <c r="A152" s="1200">
        <v>40140</v>
      </c>
      <c r="B152" s="1199" t="s">
        <v>4058</v>
      </c>
      <c r="C152" s="1199" t="s">
        <v>4</v>
      </c>
    </row>
    <row r="153" spans="1:3">
      <c r="A153" s="1200">
        <v>40170</v>
      </c>
      <c r="B153" s="1199" t="s">
        <v>4074</v>
      </c>
      <c r="C153" s="1199" t="s">
        <v>4057</v>
      </c>
    </row>
    <row r="154" spans="1:3">
      <c r="A154" s="1200">
        <v>40179</v>
      </c>
      <c r="B154" s="1199" t="s">
        <v>4078</v>
      </c>
      <c r="C154" s="1199" t="s">
        <v>4062</v>
      </c>
    </row>
    <row r="155" spans="1:3">
      <c r="A155" s="1200">
        <v>40189</v>
      </c>
      <c r="B155" s="1199" t="s">
        <v>4076</v>
      </c>
      <c r="C155" s="1199" t="s">
        <v>4</v>
      </c>
    </row>
    <row r="156" spans="1:3">
      <c r="A156" s="1200">
        <v>40220</v>
      </c>
      <c r="B156" s="1199" t="s">
        <v>4075</v>
      </c>
      <c r="C156" s="1199" t="s">
        <v>4059</v>
      </c>
    </row>
    <row r="157" spans="1:3">
      <c r="A157" s="1200">
        <v>40258</v>
      </c>
      <c r="B157" s="1199" t="s">
        <v>4073</v>
      </c>
      <c r="C157" s="1199" t="s">
        <v>373</v>
      </c>
    </row>
    <row r="158" spans="1:3">
      <c r="A158" s="1200">
        <v>40259</v>
      </c>
      <c r="B158" s="1199" t="s">
        <v>4072</v>
      </c>
      <c r="C158" s="1199" t="s">
        <v>4</v>
      </c>
    </row>
    <row r="159" spans="1:3">
      <c r="A159" s="1200">
        <v>40297</v>
      </c>
      <c r="B159" s="1199" t="s">
        <v>4071</v>
      </c>
      <c r="C159" s="1199" t="s">
        <v>4059</v>
      </c>
    </row>
    <row r="160" spans="1:3">
      <c r="A160" s="1200">
        <v>40301</v>
      </c>
      <c r="B160" s="1199" t="s">
        <v>4070</v>
      </c>
      <c r="C160" s="1199" t="s">
        <v>4</v>
      </c>
    </row>
    <row r="161" spans="1:3">
      <c r="A161" s="1200">
        <v>40302</v>
      </c>
      <c r="B161" s="1199" t="s">
        <v>4068</v>
      </c>
      <c r="C161" s="1199" t="s">
        <v>4069</v>
      </c>
    </row>
    <row r="162" spans="1:3">
      <c r="A162" s="1200">
        <v>40303</v>
      </c>
      <c r="B162" s="1199" t="s">
        <v>4067</v>
      </c>
      <c r="C162" s="1199" t="s">
        <v>4057</v>
      </c>
    </row>
    <row r="163" spans="1:3">
      <c r="A163" s="1200">
        <v>40378</v>
      </c>
      <c r="B163" s="1199" t="s">
        <v>4066</v>
      </c>
      <c r="C163" s="1199" t="s">
        <v>4</v>
      </c>
    </row>
    <row r="164" spans="1:3">
      <c r="A164" s="1200">
        <v>40441</v>
      </c>
      <c r="B164" s="1199" t="s">
        <v>4064</v>
      </c>
      <c r="C164" s="1199" t="s">
        <v>4</v>
      </c>
    </row>
    <row r="165" spans="1:3">
      <c r="A165" s="1200">
        <v>40444</v>
      </c>
      <c r="B165" s="1199" t="s">
        <v>4063</v>
      </c>
      <c r="C165" s="1199" t="s">
        <v>4059</v>
      </c>
    </row>
    <row r="166" spans="1:3">
      <c r="A166" s="1200">
        <v>40462</v>
      </c>
      <c r="B166" s="1199" t="s">
        <v>4081</v>
      </c>
      <c r="C166" s="1199" t="s">
        <v>4</v>
      </c>
    </row>
    <row r="167" spans="1:3">
      <c r="A167" s="1200">
        <v>40485</v>
      </c>
      <c r="B167" s="1199" t="s">
        <v>4060</v>
      </c>
      <c r="C167" s="1199" t="s">
        <v>4057</v>
      </c>
    </row>
    <row r="168" spans="1:3">
      <c r="A168" s="1200">
        <v>40505</v>
      </c>
      <c r="B168" s="1199" t="s">
        <v>4058</v>
      </c>
      <c r="C168" s="1199" t="s">
        <v>4069</v>
      </c>
    </row>
    <row r="169" spans="1:3">
      <c r="A169" s="1200">
        <v>40535</v>
      </c>
      <c r="B169" s="1199" t="s">
        <v>4074</v>
      </c>
      <c r="C169" s="1199" t="s">
        <v>4059</v>
      </c>
    </row>
    <row r="170" spans="1:3">
      <c r="A170" s="1200">
        <v>40544</v>
      </c>
      <c r="B170" s="1199" t="s">
        <v>4078</v>
      </c>
      <c r="C170" s="1199" t="s">
        <v>4077</v>
      </c>
    </row>
    <row r="171" spans="1:3">
      <c r="A171" s="1200">
        <v>40553</v>
      </c>
      <c r="B171" s="1199" t="s">
        <v>4076</v>
      </c>
      <c r="C171" s="1199" t="s">
        <v>4</v>
      </c>
    </row>
    <row r="172" spans="1:3">
      <c r="A172" s="1200">
        <v>40585</v>
      </c>
      <c r="B172" s="1199" t="s">
        <v>4075</v>
      </c>
      <c r="C172" s="1199" t="s">
        <v>4062</v>
      </c>
    </row>
    <row r="173" spans="1:3">
      <c r="A173" s="1200">
        <v>40623</v>
      </c>
      <c r="B173" s="1199" t="s">
        <v>4073</v>
      </c>
      <c r="C173" s="1199" t="s">
        <v>4</v>
      </c>
    </row>
    <row r="174" spans="1:3">
      <c r="A174" s="1200">
        <v>40662</v>
      </c>
      <c r="B174" s="1199" t="s">
        <v>4071</v>
      </c>
      <c r="C174" s="1199" t="s">
        <v>4062</v>
      </c>
    </row>
    <row r="175" spans="1:3">
      <c r="A175" s="1200">
        <v>40666</v>
      </c>
      <c r="B175" s="1199" t="s">
        <v>4070</v>
      </c>
      <c r="C175" s="1199" t="s">
        <v>4069</v>
      </c>
    </row>
    <row r="176" spans="1:3">
      <c r="A176" s="1200">
        <v>40667</v>
      </c>
      <c r="B176" s="1199" t="s">
        <v>4068</v>
      </c>
      <c r="C176" s="1199" t="s">
        <v>4057</v>
      </c>
    </row>
    <row r="177" spans="1:3">
      <c r="A177" s="1200">
        <v>40668</v>
      </c>
      <c r="B177" s="1199" t="s">
        <v>4067</v>
      </c>
      <c r="C177" s="1199" t="s">
        <v>4059</v>
      </c>
    </row>
    <row r="178" spans="1:3">
      <c r="A178" s="1200">
        <v>40742</v>
      </c>
      <c r="B178" s="1199" t="s">
        <v>4066</v>
      </c>
      <c r="C178" s="1199" t="s">
        <v>4</v>
      </c>
    </row>
    <row r="179" spans="1:3">
      <c r="A179" s="1200">
        <v>40805</v>
      </c>
      <c r="B179" s="1199" t="s">
        <v>4064</v>
      </c>
      <c r="C179" s="1199" t="s">
        <v>4</v>
      </c>
    </row>
    <row r="180" spans="1:3">
      <c r="A180" s="1200">
        <v>40809</v>
      </c>
      <c r="B180" s="1199" t="s">
        <v>4063</v>
      </c>
      <c r="C180" s="1199" t="s">
        <v>4062</v>
      </c>
    </row>
    <row r="181" spans="1:3">
      <c r="A181" s="1200">
        <v>40826</v>
      </c>
      <c r="B181" s="1199" t="s">
        <v>4081</v>
      </c>
      <c r="C181" s="1199" t="s">
        <v>4</v>
      </c>
    </row>
    <row r="182" spans="1:3">
      <c r="A182" s="1200">
        <v>40850</v>
      </c>
      <c r="B182" s="1199" t="s">
        <v>4060</v>
      </c>
      <c r="C182" s="1199" t="s">
        <v>4059</v>
      </c>
    </row>
    <row r="183" spans="1:3">
      <c r="A183" s="1200">
        <v>40870</v>
      </c>
      <c r="B183" s="1199" t="s">
        <v>4058</v>
      </c>
      <c r="C183" s="1199" t="s">
        <v>4057</v>
      </c>
    </row>
    <row r="184" spans="1:3">
      <c r="A184" s="1200">
        <v>40900</v>
      </c>
      <c r="B184" s="1199" t="s">
        <v>4074</v>
      </c>
      <c r="C184" s="1199" t="s">
        <v>4062</v>
      </c>
    </row>
    <row r="185" spans="1:3">
      <c r="A185" s="1200">
        <v>40909</v>
      </c>
      <c r="B185" s="1199" t="s">
        <v>4078</v>
      </c>
      <c r="C185" s="1199" t="s">
        <v>373</v>
      </c>
    </row>
    <row r="186" spans="1:3">
      <c r="A186" s="1200">
        <v>40910</v>
      </c>
      <c r="B186" s="1199" t="s">
        <v>4072</v>
      </c>
      <c r="C186" s="1199" t="s">
        <v>4</v>
      </c>
    </row>
    <row r="187" spans="1:3">
      <c r="A187" s="1200">
        <v>40917</v>
      </c>
      <c r="B187" s="1199" t="s">
        <v>4076</v>
      </c>
      <c r="C187" s="1199" t="s">
        <v>4</v>
      </c>
    </row>
    <row r="188" spans="1:3">
      <c r="A188" s="1200">
        <v>40950</v>
      </c>
      <c r="B188" s="1199" t="s">
        <v>4075</v>
      </c>
      <c r="C188" s="1199" t="s">
        <v>4077</v>
      </c>
    </row>
    <row r="189" spans="1:3">
      <c r="A189" s="1200">
        <v>40988</v>
      </c>
      <c r="B189" s="1199" t="s">
        <v>4073</v>
      </c>
      <c r="C189" s="1199" t="s">
        <v>4069</v>
      </c>
    </row>
    <row r="190" spans="1:3">
      <c r="A190" s="1200">
        <v>41028</v>
      </c>
      <c r="B190" s="1199" t="s">
        <v>4071</v>
      </c>
      <c r="C190" s="1199" t="s">
        <v>373</v>
      </c>
    </row>
    <row r="191" spans="1:3">
      <c r="A191" s="1200">
        <v>41029</v>
      </c>
      <c r="B191" s="1199" t="s">
        <v>4072</v>
      </c>
      <c r="C191" s="1199" t="s">
        <v>4</v>
      </c>
    </row>
    <row r="192" spans="1:3">
      <c r="A192" s="1200">
        <v>41032</v>
      </c>
      <c r="B192" s="1199" t="s">
        <v>4070</v>
      </c>
      <c r="C192" s="1199" t="s">
        <v>4059</v>
      </c>
    </row>
    <row r="193" spans="1:3">
      <c r="A193" s="1200">
        <v>41033</v>
      </c>
      <c r="B193" s="1199" t="s">
        <v>4068</v>
      </c>
      <c r="C193" s="1199" t="s">
        <v>4062</v>
      </c>
    </row>
    <row r="194" spans="1:3">
      <c r="A194" s="1200">
        <v>41034</v>
      </c>
      <c r="B194" s="1199" t="s">
        <v>4067</v>
      </c>
      <c r="C194" s="1199" t="s">
        <v>4077</v>
      </c>
    </row>
    <row r="195" spans="1:3">
      <c r="A195" s="1200">
        <v>41106</v>
      </c>
      <c r="B195" s="1199" t="s">
        <v>4066</v>
      </c>
      <c r="C195" s="1199" t="s">
        <v>4</v>
      </c>
    </row>
    <row r="196" spans="1:3">
      <c r="A196" s="1200">
        <v>41169</v>
      </c>
      <c r="B196" s="1199" t="s">
        <v>4064</v>
      </c>
      <c r="C196" s="1199" t="s">
        <v>4</v>
      </c>
    </row>
    <row r="197" spans="1:3">
      <c r="A197" s="1200">
        <v>41174</v>
      </c>
      <c r="B197" s="1199" t="s">
        <v>4063</v>
      </c>
      <c r="C197" s="1199" t="s">
        <v>4077</v>
      </c>
    </row>
    <row r="198" spans="1:3">
      <c r="A198" s="1200">
        <v>41190</v>
      </c>
      <c r="B198" s="1199" t="s">
        <v>4081</v>
      </c>
      <c r="C198" s="1199" t="s">
        <v>4</v>
      </c>
    </row>
    <row r="199" spans="1:3">
      <c r="A199" s="1200">
        <v>41216</v>
      </c>
      <c r="B199" s="1199" t="s">
        <v>4060</v>
      </c>
      <c r="C199" s="1199" t="s">
        <v>4077</v>
      </c>
    </row>
    <row r="200" spans="1:3">
      <c r="A200" s="1200">
        <v>41236</v>
      </c>
      <c r="B200" s="1199" t="s">
        <v>4058</v>
      </c>
      <c r="C200" s="1199" t="s">
        <v>4062</v>
      </c>
    </row>
    <row r="201" spans="1:3">
      <c r="A201" s="1200">
        <v>41266</v>
      </c>
      <c r="B201" s="1199" t="s">
        <v>4074</v>
      </c>
      <c r="C201" s="1199" t="s">
        <v>373</v>
      </c>
    </row>
    <row r="202" spans="1:3">
      <c r="A202" s="1200">
        <v>41267</v>
      </c>
      <c r="B202" s="1199" t="s">
        <v>4072</v>
      </c>
      <c r="C202" s="1199" t="s">
        <v>4</v>
      </c>
    </row>
    <row r="203" spans="1:3">
      <c r="A203" s="1200">
        <v>41275</v>
      </c>
      <c r="B203" s="1199" t="s">
        <v>4078</v>
      </c>
      <c r="C203" s="1199" t="s">
        <v>4069</v>
      </c>
    </row>
    <row r="204" spans="1:3">
      <c r="A204" s="1200">
        <v>41288</v>
      </c>
      <c r="B204" s="1199" t="s">
        <v>4076</v>
      </c>
      <c r="C204" s="1199" t="s">
        <v>4</v>
      </c>
    </row>
    <row r="205" spans="1:3">
      <c r="A205" s="1200">
        <v>41316</v>
      </c>
      <c r="B205" s="1199" t="s">
        <v>4075</v>
      </c>
      <c r="C205" s="1199" t="s">
        <v>4</v>
      </c>
    </row>
    <row r="206" spans="1:3">
      <c r="A206" s="1200">
        <v>41353</v>
      </c>
      <c r="B206" s="1199" t="s">
        <v>4073</v>
      </c>
      <c r="C206" s="1199" t="s">
        <v>4057</v>
      </c>
    </row>
    <row r="207" spans="1:3">
      <c r="A207" s="1200">
        <v>41393</v>
      </c>
      <c r="B207" s="1199" t="s">
        <v>4071</v>
      </c>
      <c r="C207" s="1199" t="s">
        <v>4</v>
      </c>
    </row>
    <row r="208" spans="1:3">
      <c r="A208" s="1200">
        <v>41397</v>
      </c>
      <c r="B208" s="1199" t="s">
        <v>4070</v>
      </c>
      <c r="C208" s="1199" t="s">
        <v>4062</v>
      </c>
    </row>
    <row r="209" spans="1:3">
      <c r="A209" s="1200">
        <v>41398</v>
      </c>
      <c r="B209" s="1199" t="s">
        <v>4068</v>
      </c>
      <c r="C209" s="1199" t="s">
        <v>4077</v>
      </c>
    </row>
    <row r="210" spans="1:3">
      <c r="A210" s="1200">
        <v>41399</v>
      </c>
      <c r="B210" s="1199" t="s">
        <v>4067</v>
      </c>
      <c r="C210" s="1199" t="s">
        <v>373</v>
      </c>
    </row>
    <row r="211" spans="1:3">
      <c r="A211" s="1200">
        <v>41400</v>
      </c>
      <c r="B211" s="1199" t="s">
        <v>4072</v>
      </c>
      <c r="C211" s="1199" t="s">
        <v>4</v>
      </c>
    </row>
    <row r="212" spans="1:3">
      <c r="A212" s="1200">
        <v>41470</v>
      </c>
      <c r="B212" s="1199" t="s">
        <v>4066</v>
      </c>
      <c r="C212" s="1199" t="s">
        <v>4</v>
      </c>
    </row>
    <row r="213" spans="1:3">
      <c r="A213" s="1200">
        <v>41533</v>
      </c>
      <c r="B213" s="1199" t="s">
        <v>4064</v>
      </c>
      <c r="C213" s="1199" t="s">
        <v>4</v>
      </c>
    </row>
    <row r="214" spans="1:3">
      <c r="A214" s="1200">
        <v>41540</v>
      </c>
      <c r="B214" s="1199" t="s">
        <v>4063</v>
      </c>
      <c r="C214" s="1199" t="s">
        <v>4</v>
      </c>
    </row>
    <row r="215" spans="1:3">
      <c r="A215" s="1200">
        <v>41561</v>
      </c>
      <c r="B215" s="1199" t="s">
        <v>4081</v>
      </c>
      <c r="C215" s="1199" t="s">
        <v>4</v>
      </c>
    </row>
    <row r="216" spans="1:3">
      <c r="A216" s="1200">
        <v>41581</v>
      </c>
      <c r="B216" s="1199" t="s">
        <v>4060</v>
      </c>
      <c r="C216" s="1199" t="s">
        <v>373</v>
      </c>
    </row>
    <row r="217" spans="1:3">
      <c r="A217" s="1200">
        <v>41582</v>
      </c>
      <c r="B217" s="1199" t="s">
        <v>4072</v>
      </c>
      <c r="C217" s="1199" t="s">
        <v>4</v>
      </c>
    </row>
    <row r="218" spans="1:3">
      <c r="A218" s="1200">
        <v>41601</v>
      </c>
      <c r="B218" s="1199" t="s">
        <v>4058</v>
      </c>
      <c r="C218" s="1199" t="s">
        <v>4077</v>
      </c>
    </row>
    <row r="219" spans="1:3">
      <c r="A219" s="1200">
        <v>41631</v>
      </c>
      <c r="B219" s="1199" t="s">
        <v>4074</v>
      </c>
      <c r="C219" s="1199" t="s">
        <v>4</v>
      </c>
    </row>
    <row r="220" spans="1:3">
      <c r="A220" s="1200">
        <v>41640</v>
      </c>
      <c r="B220" s="1199" t="s">
        <v>4078</v>
      </c>
      <c r="C220" s="1199" t="s">
        <v>4057</v>
      </c>
    </row>
    <row r="221" spans="1:3">
      <c r="A221" s="1200">
        <v>41652</v>
      </c>
      <c r="B221" s="1199" t="s">
        <v>4076</v>
      </c>
      <c r="C221" s="1199" t="s">
        <v>4</v>
      </c>
    </row>
    <row r="222" spans="1:3">
      <c r="A222" s="1200">
        <v>41681</v>
      </c>
      <c r="B222" s="1199" t="s">
        <v>4075</v>
      </c>
      <c r="C222" s="1199" t="s">
        <v>4069</v>
      </c>
    </row>
    <row r="223" spans="1:3">
      <c r="A223" s="1200">
        <v>41719</v>
      </c>
      <c r="B223" s="1199" t="s">
        <v>4073</v>
      </c>
      <c r="C223" s="1199" t="s">
        <v>4062</v>
      </c>
    </row>
    <row r="224" spans="1:3">
      <c r="A224" s="1200">
        <v>41758</v>
      </c>
      <c r="B224" s="1199" t="s">
        <v>4071</v>
      </c>
      <c r="C224" s="1199" t="s">
        <v>4069</v>
      </c>
    </row>
    <row r="225" spans="1:3">
      <c r="A225" s="1200">
        <v>41762</v>
      </c>
      <c r="B225" s="1199" t="s">
        <v>4070</v>
      </c>
      <c r="C225" s="1199" t="s">
        <v>4077</v>
      </c>
    </row>
    <row r="226" spans="1:3">
      <c r="A226" s="1200">
        <v>41763</v>
      </c>
      <c r="B226" s="1199" t="s">
        <v>4068</v>
      </c>
      <c r="C226" s="1199" t="s">
        <v>373</v>
      </c>
    </row>
    <row r="227" spans="1:3">
      <c r="A227" s="1200">
        <v>41764</v>
      </c>
      <c r="B227" s="1199" t="s">
        <v>4067</v>
      </c>
      <c r="C227" s="1199" t="s">
        <v>4</v>
      </c>
    </row>
    <row r="228" spans="1:3">
      <c r="A228" s="1200">
        <v>41765</v>
      </c>
      <c r="B228" s="1199" t="s">
        <v>4072</v>
      </c>
      <c r="C228" s="1199" t="s">
        <v>4069</v>
      </c>
    </row>
    <row r="229" spans="1:3">
      <c r="A229" s="1200">
        <v>41841</v>
      </c>
      <c r="B229" s="1199" t="s">
        <v>4066</v>
      </c>
      <c r="C229" s="1199" t="s">
        <v>4</v>
      </c>
    </row>
    <row r="230" spans="1:3">
      <c r="A230" s="1200">
        <v>41897</v>
      </c>
      <c r="B230" s="1199" t="s">
        <v>4064</v>
      </c>
      <c r="C230" s="1199" t="s">
        <v>4</v>
      </c>
    </row>
    <row r="231" spans="1:3">
      <c r="A231" s="1200">
        <v>41905</v>
      </c>
      <c r="B231" s="1199" t="s">
        <v>4063</v>
      </c>
      <c r="C231" s="1199" t="s">
        <v>4069</v>
      </c>
    </row>
    <row r="232" spans="1:3">
      <c r="A232" s="1200">
        <v>41925</v>
      </c>
      <c r="B232" s="1199" t="s">
        <v>4081</v>
      </c>
      <c r="C232" s="1199" t="s">
        <v>4</v>
      </c>
    </row>
    <row r="233" spans="1:3">
      <c r="A233" s="1200">
        <v>41946</v>
      </c>
      <c r="B233" s="1199" t="s">
        <v>4060</v>
      </c>
      <c r="C233" s="1199" t="s">
        <v>4</v>
      </c>
    </row>
    <row r="234" spans="1:3">
      <c r="A234" s="1200">
        <v>41966</v>
      </c>
      <c r="B234" s="1199" t="s">
        <v>4058</v>
      </c>
      <c r="C234" s="1199" t="s">
        <v>373</v>
      </c>
    </row>
    <row r="235" spans="1:3">
      <c r="A235" s="1200">
        <v>41967</v>
      </c>
      <c r="B235" s="1199" t="s">
        <v>4072</v>
      </c>
      <c r="C235" s="1199" t="s">
        <v>4</v>
      </c>
    </row>
    <row r="236" spans="1:3">
      <c r="A236" s="1200">
        <v>41996</v>
      </c>
      <c r="B236" s="1199" t="s">
        <v>4074</v>
      </c>
      <c r="C236" s="1199" t="s">
        <v>4069</v>
      </c>
    </row>
    <row r="237" spans="1:3">
      <c r="A237" s="1200">
        <v>42005</v>
      </c>
      <c r="B237" s="1199" t="s">
        <v>4078</v>
      </c>
      <c r="C237" s="1199" t="s">
        <v>4059</v>
      </c>
    </row>
    <row r="238" spans="1:3">
      <c r="A238" s="1200">
        <v>42016</v>
      </c>
      <c r="B238" s="1199" t="s">
        <v>4076</v>
      </c>
      <c r="C238" s="1199" t="s">
        <v>4</v>
      </c>
    </row>
    <row r="239" spans="1:3">
      <c r="A239" s="1200">
        <v>42046</v>
      </c>
      <c r="B239" s="1199" t="s">
        <v>4075</v>
      </c>
      <c r="C239" s="1199" t="s">
        <v>4057</v>
      </c>
    </row>
    <row r="240" spans="1:3">
      <c r="A240" s="1200">
        <v>42084</v>
      </c>
      <c r="B240" s="1199" t="s">
        <v>4073</v>
      </c>
      <c r="C240" s="1199" t="s">
        <v>4077</v>
      </c>
    </row>
    <row r="241" spans="1:3">
      <c r="A241" s="1200">
        <v>42123</v>
      </c>
      <c r="B241" s="1199" t="s">
        <v>4071</v>
      </c>
      <c r="C241" s="1199" t="s">
        <v>4057</v>
      </c>
    </row>
    <row r="242" spans="1:3">
      <c r="A242" s="1200">
        <v>42127</v>
      </c>
      <c r="B242" s="1199" t="s">
        <v>4070</v>
      </c>
      <c r="C242" s="1199" t="s">
        <v>373</v>
      </c>
    </row>
    <row r="243" spans="1:3">
      <c r="A243" s="1200">
        <v>42128</v>
      </c>
      <c r="B243" s="1199" t="s">
        <v>4068</v>
      </c>
      <c r="C243" s="1199" t="s">
        <v>4</v>
      </c>
    </row>
    <row r="244" spans="1:3">
      <c r="A244" s="1200">
        <v>42129</v>
      </c>
      <c r="B244" s="1199" t="s">
        <v>4067</v>
      </c>
      <c r="C244" s="1199" t="s">
        <v>4069</v>
      </c>
    </row>
    <row r="245" spans="1:3">
      <c r="A245" s="1200">
        <v>42130</v>
      </c>
      <c r="B245" s="1199" t="s">
        <v>4072</v>
      </c>
      <c r="C245" s="1199" t="s">
        <v>4057</v>
      </c>
    </row>
    <row r="246" spans="1:3">
      <c r="A246" s="1200">
        <v>42205</v>
      </c>
      <c r="B246" s="1199" t="s">
        <v>4066</v>
      </c>
      <c r="C246" s="1199" t="s">
        <v>4</v>
      </c>
    </row>
    <row r="247" spans="1:3">
      <c r="A247" s="1200">
        <v>42268</v>
      </c>
      <c r="B247" s="1199" t="s">
        <v>4064</v>
      </c>
      <c r="C247" s="1199" t="s">
        <v>4</v>
      </c>
    </row>
    <row r="248" spans="1:3">
      <c r="A248" s="1200">
        <v>42269</v>
      </c>
      <c r="B248" s="1199" t="s">
        <v>4079</v>
      </c>
      <c r="C248" s="1199" t="s">
        <v>4069</v>
      </c>
    </row>
    <row r="249" spans="1:3">
      <c r="A249" s="1200">
        <v>42270</v>
      </c>
      <c r="B249" s="1199" t="s">
        <v>4063</v>
      </c>
      <c r="C249" s="1199" t="s">
        <v>4057</v>
      </c>
    </row>
    <row r="250" spans="1:3">
      <c r="A250" s="1200">
        <v>42289</v>
      </c>
      <c r="B250" s="1199" t="s">
        <v>4081</v>
      </c>
      <c r="C250" s="1199" t="s">
        <v>4</v>
      </c>
    </row>
    <row r="251" spans="1:3">
      <c r="A251" s="1200">
        <v>42311</v>
      </c>
      <c r="B251" s="1199" t="s">
        <v>4060</v>
      </c>
      <c r="C251" s="1199" t="s">
        <v>4069</v>
      </c>
    </row>
    <row r="252" spans="1:3">
      <c r="A252" s="1200">
        <v>42331</v>
      </c>
      <c r="B252" s="1199" t="s">
        <v>4058</v>
      </c>
      <c r="C252" s="1199" t="s">
        <v>4</v>
      </c>
    </row>
    <row r="253" spans="1:3">
      <c r="A253" s="1200">
        <v>42361</v>
      </c>
      <c r="B253" s="1199" t="s">
        <v>4074</v>
      </c>
      <c r="C253" s="1199" t="s">
        <v>4057</v>
      </c>
    </row>
    <row r="254" spans="1:3">
      <c r="A254" s="1200">
        <v>42370</v>
      </c>
      <c r="B254" s="1199" t="s">
        <v>4078</v>
      </c>
      <c r="C254" s="1199" t="s">
        <v>4062</v>
      </c>
    </row>
    <row r="255" spans="1:3">
      <c r="A255" s="1200">
        <v>42380</v>
      </c>
      <c r="B255" s="1199" t="s">
        <v>4076</v>
      </c>
      <c r="C255" s="1199" t="s">
        <v>4</v>
      </c>
    </row>
    <row r="256" spans="1:3">
      <c r="A256" s="1200">
        <v>42411</v>
      </c>
      <c r="B256" s="1199" t="s">
        <v>4075</v>
      </c>
      <c r="C256" s="1199" t="s">
        <v>4059</v>
      </c>
    </row>
    <row r="257" spans="1:3">
      <c r="A257" s="1200">
        <v>42449</v>
      </c>
      <c r="B257" s="1199" t="s">
        <v>4073</v>
      </c>
      <c r="C257" s="1199" t="s">
        <v>373</v>
      </c>
    </row>
    <row r="258" spans="1:3">
      <c r="A258" s="1200">
        <v>42450</v>
      </c>
      <c r="B258" s="1199" t="s">
        <v>4072</v>
      </c>
      <c r="C258" s="1199" t="s">
        <v>4</v>
      </c>
    </row>
    <row r="259" spans="1:3">
      <c r="A259" s="1200">
        <v>42489</v>
      </c>
      <c r="B259" s="1199" t="s">
        <v>4071</v>
      </c>
      <c r="C259" s="1199" t="s">
        <v>4062</v>
      </c>
    </row>
    <row r="260" spans="1:3">
      <c r="A260" s="1200">
        <v>42493</v>
      </c>
      <c r="B260" s="1199" t="s">
        <v>4070</v>
      </c>
      <c r="C260" s="1199" t="s">
        <v>4069</v>
      </c>
    </row>
    <row r="261" spans="1:3">
      <c r="A261" s="1200">
        <v>42494</v>
      </c>
      <c r="B261" s="1199" t="s">
        <v>4068</v>
      </c>
      <c r="C261" s="1199" t="s">
        <v>4057</v>
      </c>
    </row>
    <row r="262" spans="1:3">
      <c r="A262" s="1200">
        <v>42495</v>
      </c>
      <c r="B262" s="1199" t="s">
        <v>4067</v>
      </c>
      <c r="C262" s="1199" t="s">
        <v>4059</v>
      </c>
    </row>
    <row r="263" spans="1:3">
      <c r="A263" s="1200">
        <v>42569</v>
      </c>
      <c r="B263" s="1199" t="s">
        <v>4066</v>
      </c>
      <c r="C263" s="1199" t="s">
        <v>4</v>
      </c>
    </row>
    <row r="264" spans="1:3">
      <c r="A264" s="1200">
        <v>42593</v>
      </c>
      <c r="B264" s="1199" t="s">
        <v>4065</v>
      </c>
      <c r="C264" s="1199" t="s">
        <v>4059</v>
      </c>
    </row>
    <row r="265" spans="1:3">
      <c r="A265" s="1200">
        <v>42632</v>
      </c>
      <c r="B265" s="1199" t="s">
        <v>4064</v>
      </c>
      <c r="C265" s="1199" t="s">
        <v>4</v>
      </c>
    </row>
    <row r="266" spans="1:3">
      <c r="A266" s="1200">
        <v>42635</v>
      </c>
      <c r="B266" s="1199" t="s">
        <v>4063</v>
      </c>
      <c r="C266" s="1199" t="s">
        <v>4059</v>
      </c>
    </row>
    <row r="267" spans="1:3">
      <c r="A267" s="1200">
        <v>42653</v>
      </c>
      <c r="B267" s="1199" t="s">
        <v>4081</v>
      </c>
      <c r="C267" s="1199" t="s">
        <v>4</v>
      </c>
    </row>
    <row r="268" spans="1:3">
      <c r="A268" s="1200">
        <v>42677</v>
      </c>
      <c r="B268" s="1199" t="s">
        <v>4060</v>
      </c>
      <c r="C268" s="1199" t="s">
        <v>4059</v>
      </c>
    </row>
    <row r="269" spans="1:3">
      <c r="A269" s="1200">
        <v>42697</v>
      </c>
      <c r="B269" s="1199" t="s">
        <v>4058</v>
      </c>
      <c r="C269" s="1199" t="s">
        <v>4057</v>
      </c>
    </row>
    <row r="270" spans="1:3">
      <c r="A270" s="1200">
        <v>42727</v>
      </c>
      <c r="B270" s="1199" t="s">
        <v>4074</v>
      </c>
      <c r="C270" s="1199" t="s">
        <v>4062</v>
      </c>
    </row>
    <row r="271" spans="1:3">
      <c r="A271" s="1200">
        <v>42736</v>
      </c>
      <c r="B271" s="1199" t="s">
        <v>4078</v>
      </c>
      <c r="C271" s="1199" t="s">
        <v>373</v>
      </c>
    </row>
    <row r="272" spans="1:3">
      <c r="A272" s="1200">
        <v>42737</v>
      </c>
      <c r="B272" s="1199" t="s">
        <v>4072</v>
      </c>
      <c r="C272" s="1199" t="s">
        <v>4</v>
      </c>
    </row>
    <row r="273" spans="1:3">
      <c r="A273" s="1200">
        <v>42744</v>
      </c>
      <c r="B273" s="1199" t="s">
        <v>4076</v>
      </c>
      <c r="C273" s="1199" t="s">
        <v>4</v>
      </c>
    </row>
    <row r="274" spans="1:3">
      <c r="A274" s="1200">
        <v>42777</v>
      </c>
      <c r="B274" s="1199" t="s">
        <v>4075</v>
      </c>
      <c r="C274" s="1199" t="s">
        <v>4077</v>
      </c>
    </row>
    <row r="275" spans="1:3">
      <c r="A275" s="1200">
        <v>42814</v>
      </c>
      <c r="B275" s="1199" t="s">
        <v>4073</v>
      </c>
      <c r="C275" s="1199" t="s">
        <v>4</v>
      </c>
    </row>
    <row r="276" spans="1:3">
      <c r="A276" s="1200">
        <v>42854</v>
      </c>
      <c r="B276" s="1199" t="s">
        <v>4071</v>
      </c>
      <c r="C276" s="1199" t="s">
        <v>4077</v>
      </c>
    </row>
    <row r="277" spans="1:3">
      <c r="A277" s="1200">
        <v>42858</v>
      </c>
      <c r="B277" s="1199" t="s">
        <v>4070</v>
      </c>
      <c r="C277" s="1199" t="s">
        <v>4057</v>
      </c>
    </row>
    <row r="278" spans="1:3">
      <c r="A278" s="1200">
        <v>42859</v>
      </c>
      <c r="B278" s="1199" t="s">
        <v>4068</v>
      </c>
      <c r="C278" s="1199" t="s">
        <v>4059</v>
      </c>
    </row>
    <row r="279" spans="1:3">
      <c r="A279" s="1200">
        <v>42860</v>
      </c>
      <c r="B279" s="1199" t="s">
        <v>4067</v>
      </c>
      <c r="C279" s="1199" t="s">
        <v>4062</v>
      </c>
    </row>
    <row r="280" spans="1:3">
      <c r="A280" s="1200">
        <v>42933</v>
      </c>
      <c r="B280" s="1199" t="s">
        <v>4066</v>
      </c>
      <c r="C280" s="1199" t="s">
        <v>4</v>
      </c>
    </row>
    <row r="281" spans="1:3">
      <c r="A281" s="1200">
        <v>42958</v>
      </c>
      <c r="B281" s="1199" t="s">
        <v>4065</v>
      </c>
      <c r="C281" s="1199" t="s">
        <v>4062</v>
      </c>
    </row>
    <row r="282" spans="1:3">
      <c r="A282" s="1200">
        <v>42996</v>
      </c>
      <c r="B282" s="1199" t="s">
        <v>4064</v>
      </c>
      <c r="C282" s="1199" t="s">
        <v>4</v>
      </c>
    </row>
    <row r="283" spans="1:3">
      <c r="A283" s="1200">
        <v>43001</v>
      </c>
      <c r="B283" s="1199" t="s">
        <v>4063</v>
      </c>
      <c r="C283" s="1199" t="s">
        <v>4077</v>
      </c>
    </row>
    <row r="284" spans="1:3">
      <c r="A284" s="1200">
        <v>43017</v>
      </c>
      <c r="B284" s="1199" t="s">
        <v>4081</v>
      </c>
      <c r="C284" s="1199" t="s">
        <v>4</v>
      </c>
    </row>
    <row r="285" spans="1:3">
      <c r="A285" s="1200">
        <v>43042</v>
      </c>
      <c r="B285" s="1199" t="s">
        <v>4060</v>
      </c>
      <c r="C285" s="1199" t="s">
        <v>4062</v>
      </c>
    </row>
    <row r="286" spans="1:3">
      <c r="A286" s="1200">
        <v>43062</v>
      </c>
      <c r="B286" s="1199" t="s">
        <v>4058</v>
      </c>
      <c r="C286" s="1199" t="s">
        <v>4059</v>
      </c>
    </row>
    <row r="287" spans="1:3">
      <c r="A287" s="1200">
        <v>43092</v>
      </c>
      <c r="B287" s="1199" t="s">
        <v>4074</v>
      </c>
      <c r="C287" s="1199" t="s">
        <v>4077</v>
      </c>
    </row>
    <row r="288" spans="1:3">
      <c r="A288" s="1200">
        <v>43101</v>
      </c>
      <c r="B288" s="1199" t="s">
        <v>4078</v>
      </c>
      <c r="C288" s="1199" t="s">
        <v>4</v>
      </c>
    </row>
    <row r="289" spans="1:3">
      <c r="A289" s="1200">
        <v>43108</v>
      </c>
      <c r="B289" s="1199" t="s">
        <v>4076</v>
      </c>
      <c r="C289" s="1199" t="s">
        <v>4</v>
      </c>
    </row>
    <row r="290" spans="1:3">
      <c r="A290" s="1200">
        <v>43142</v>
      </c>
      <c r="B290" s="1199" t="s">
        <v>4075</v>
      </c>
      <c r="C290" s="1199" t="s">
        <v>373</v>
      </c>
    </row>
    <row r="291" spans="1:3">
      <c r="A291" s="1200">
        <v>43143</v>
      </c>
      <c r="B291" s="1199" t="s">
        <v>4072</v>
      </c>
      <c r="C291" s="1199" t="s">
        <v>4</v>
      </c>
    </row>
    <row r="292" spans="1:3">
      <c r="A292" s="1200">
        <v>43180</v>
      </c>
      <c r="B292" s="1199" t="s">
        <v>4073</v>
      </c>
      <c r="C292" s="1199" t="s">
        <v>4057</v>
      </c>
    </row>
    <row r="293" spans="1:3">
      <c r="A293" s="1200">
        <v>43219</v>
      </c>
      <c r="B293" s="1199" t="s">
        <v>4071</v>
      </c>
      <c r="C293" s="1199" t="s">
        <v>373</v>
      </c>
    </row>
    <row r="294" spans="1:3">
      <c r="A294" s="1200">
        <v>43220</v>
      </c>
      <c r="B294" s="1199" t="s">
        <v>4072</v>
      </c>
      <c r="C294" s="1199" t="s">
        <v>4</v>
      </c>
    </row>
    <row r="295" spans="1:3">
      <c r="A295" s="1200">
        <v>43223</v>
      </c>
      <c r="B295" s="1199" t="s">
        <v>4070</v>
      </c>
      <c r="C295" s="1199" t="s">
        <v>4059</v>
      </c>
    </row>
    <row r="296" spans="1:3">
      <c r="A296" s="1200">
        <v>43224</v>
      </c>
      <c r="B296" s="1199" t="s">
        <v>4068</v>
      </c>
      <c r="C296" s="1199" t="s">
        <v>4062</v>
      </c>
    </row>
    <row r="297" spans="1:3">
      <c r="A297" s="1200">
        <v>43225</v>
      </c>
      <c r="B297" s="1199" t="s">
        <v>4067</v>
      </c>
      <c r="C297" s="1199" t="s">
        <v>4077</v>
      </c>
    </row>
    <row r="298" spans="1:3">
      <c r="A298" s="1200">
        <v>43297</v>
      </c>
      <c r="B298" s="1199" t="s">
        <v>4066</v>
      </c>
      <c r="C298" s="1199" t="s">
        <v>4</v>
      </c>
    </row>
    <row r="299" spans="1:3">
      <c r="A299" s="1200">
        <v>43323</v>
      </c>
      <c r="B299" s="1199" t="s">
        <v>4065</v>
      </c>
      <c r="C299" s="1199" t="s">
        <v>4077</v>
      </c>
    </row>
    <row r="300" spans="1:3">
      <c r="A300" s="1200">
        <v>43360</v>
      </c>
      <c r="B300" s="1199" t="s">
        <v>4064</v>
      </c>
      <c r="C300" s="1199" t="s">
        <v>4</v>
      </c>
    </row>
    <row r="301" spans="1:3">
      <c r="A301" s="1200">
        <v>43366</v>
      </c>
      <c r="B301" s="1199" t="s">
        <v>4063</v>
      </c>
      <c r="C301" s="1199" t="s">
        <v>373</v>
      </c>
    </row>
    <row r="302" spans="1:3">
      <c r="A302" s="1200">
        <v>43367</v>
      </c>
      <c r="B302" s="1199" t="s">
        <v>4072</v>
      </c>
      <c r="C302" s="1199" t="s">
        <v>4</v>
      </c>
    </row>
    <row r="303" spans="1:3">
      <c r="A303" s="1200">
        <v>43381</v>
      </c>
      <c r="B303" s="1199" t="s">
        <v>4081</v>
      </c>
      <c r="C303" s="1199" t="s">
        <v>4</v>
      </c>
    </row>
    <row r="304" spans="1:3">
      <c r="A304" s="1200">
        <v>43407</v>
      </c>
      <c r="B304" s="1199" t="s">
        <v>4060</v>
      </c>
      <c r="C304" s="1199" t="s">
        <v>4077</v>
      </c>
    </row>
    <row r="305" spans="1:3">
      <c r="A305" s="1200">
        <v>43427</v>
      </c>
      <c r="B305" s="1199" t="s">
        <v>4058</v>
      </c>
      <c r="C305" s="1199" t="s">
        <v>4062</v>
      </c>
    </row>
    <row r="306" spans="1:3">
      <c r="A306" s="1200">
        <v>43457</v>
      </c>
      <c r="B306" s="1199" t="s">
        <v>4074</v>
      </c>
      <c r="C306" s="1199" t="s">
        <v>373</v>
      </c>
    </row>
    <row r="307" spans="1:3">
      <c r="A307" s="1200">
        <v>43458</v>
      </c>
      <c r="B307" s="1199" t="s">
        <v>4072</v>
      </c>
      <c r="C307" s="1199" t="s">
        <v>4</v>
      </c>
    </row>
    <row r="308" spans="1:3">
      <c r="A308" s="1200">
        <v>43466</v>
      </c>
      <c r="B308" s="1199" t="s">
        <v>4078</v>
      </c>
      <c r="C308" s="1199" t="s">
        <v>4069</v>
      </c>
    </row>
    <row r="309" spans="1:3">
      <c r="A309" s="1200">
        <v>43479</v>
      </c>
      <c r="B309" s="1199" t="s">
        <v>4076</v>
      </c>
      <c r="C309" s="1199" t="s">
        <v>4</v>
      </c>
    </row>
    <row r="310" spans="1:3">
      <c r="A310" s="1200">
        <v>43507</v>
      </c>
      <c r="B310" s="1199" t="s">
        <v>4075</v>
      </c>
      <c r="C310" s="1199" t="s">
        <v>4</v>
      </c>
    </row>
    <row r="311" spans="1:3">
      <c r="A311" s="1200">
        <v>43545</v>
      </c>
      <c r="B311" s="1199" t="s">
        <v>4073</v>
      </c>
      <c r="C311" s="1199" t="s">
        <v>4059</v>
      </c>
    </row>
    <row r="312" spans="1:3">
      <c r="A312" s="1200">
        <v>43584</v>
      </c>
      <c r="B312" s="1199" t="s">
        <v>4071</v>
      </c>
      <c r="C312" s="1199" t="s">
        <v>4</v>
      </c>
    </row>
    <row r="313" spans="1:3">
      <c r="A313" s="1200">
        <v>43585</v>
      </c>
      <c r="B313" s="1199" t="s">
        <v>4079</v>
      </c>
      <c r="C313" s="1199" t="s">
        <v>4069</v>
      </c>
    </row>
    <row r="314" spans="1:3">
      <c r="A314" s="1200">
        <v>43586</v>
      </c>
      <c r="B314" s="1199" t="s">
        <v>4082</v>
      </c>
      <c r="C314" s="1199" t="s">
        <v>4057</v>
      </c>
    </row>
    <row r="315" spans="1:3">
      <c r="A315" s="1200">
        <v>43587</v>
      </c>
      <c r="B315" s="1199" t="s">
        <v>4079</v>
      </c>
      <c r="C315" s="1199" t="s">
        <v>4059</v>
      </c>
    </row>
    <row r="316" spans="1:3">
      <c r="A316" s="1200">
        <v>43588</v>
      </c>
      <c r="B316" s="1199" t="s">
        <v>4070</v>
      </c>
      <c r="C316" s="1199" t="s">
        <v>4062</v>
      </c>
    </row>
    <row r="317" spans="1:3">
      <c r="A317" s="1200">
        <v>43589</v>
      </c>
      <c r="B317" s="1199" t="s">
        <v>4068</v>
      </c>
      <c r="C317" s="1199" t="s">
        <v>4077</v>
      </c>
    </row>
    <row r="318" spans="1:3">
      <c r="A318" s="1200">
        <v>43590</v>
      </c>
      <c r="B318" s="1199" t="s">
        <v>4067</v>
      </c>
      <c r="C318" s="1199" t="s">
        <v>373</v>
      </c>
    </row>
    <row r="319" spans="1:3">
      <c r="A319" s="1200">
        <v>43591</v>
      </c>
      <c r="B319" s="1199" t="s">
        <v>4072</v>
      </c>
      <c r="C319" s="1199" t="s">
        <v>4</v>
      </c>
    </row>
    <row r="320" spans="1:3">
      <c r="A320" s="1200">
        <v>43661</v>
      </c>
      <c r="B320" s="1199" t="s">
        <v>4066</v>
      </c>
      <c r="C320" s="1199" t="s">
        <v>4</v>
      </c>
    </row>
    <row r="321" spans="1:3">
      <c r="A321" s="1200">
        <v>43688</v>
      </c>
      <c r="B321" s="1199" t="s">
        <v>4065</v>
      </c>
      <c r="C321" s="1199" t="s">
        <v>373</v>
      </c>
    </row>
    <row r="322" spans="1:3">
      <c r="A322" s="1200">
        <v>43689</v>
      </c>
      <c r="B322" s="1199" t="s">
        <v>4072</v>
      </c>
      <c r="C322" s="1199" t="s">
        <v>4</v>
      </c>
    </row>
    <row r="323" spans="1:3">
      <c r="A323" s="1200">
        <v>43724</v>
      </c>
      <c r="B323" s="1199" t="s">
        <v>4064</v>
      </c>
      <c r="C323" s="1199" t="s">
        <v>4</v>
      </c>
    </row>
    <row r="324" spans="1:3">
      <c r="A324" s="1200">
        <v>43731</v>
      </c>
      <c r="B324" s="1199" t="s">
        <v>4063</v>
      </c>
      <c r="C324" s="1199" t="s">
        <v>4</v>
      </c>
    </row>
    <row r="325" spans="1:3">
      <c r="A325" s="1200">
        <v>43752</v>
      </c>
      <c r="B325" s="1199" t="s">
        <v>4081</v>
      </c>
      <c r="C325" s="1199" t="s">
        <v>4</v>
      </c>
    </row>
    <row r="326" spans="1:3">
      <c r="A326" s="1200">
        <v>43760</v>
      </c>
      <c r="B326" s="1199" t="s">
        <v>4080</v>
      </c>
      <c r="C326" s="1199" t="s">
        <v>4069</v>
      </c>
    </row>
    <row r="327" spans="1:3">
      <c r="A327" s="1200">
        <v>43772</v>
      </c>
      <c r="B327" s="1199" t="s">
        <v>4060</v>
      </c>
      <c r="C327" s="1199" t="s">
        <v>373</v>
      </c>
    </row>
    <row r="328" spans="1:3">
      <c r="A328" s="1200">
        <v>43773</v>
      </c>
      <c r="B328" s="1199" t="s">
        <v>4072</v>
      </c>
      <c r="C328" s="1199" t="s">
        <v>4</v>
      </c>
    </row>
    <row r="329" spans="1:3">
      <c r="A329" s="1200">
        <v>43792</v>
      </c>
      <c r="B329" s="1199" t="s">
        <v>4058</v>
      </c>
      <c r="C329" s="1199" t="s">
        <v>4077</v>
      </c>
    </row>
    <row r="330" spans="1:3">
      <c r="A330" s="1200">
        <v>43831</v>
      </c>
      <c r="B330" s="1199" t="s">
        <v>4078</v>
      </c>
      <c r="C330" s="1199" t="s">
        <v>4057</v>
      </c>
    </row>
    <row r="331" spans="1:3">
      <c r="A331" s="1200">
        <v>43843</v>
      </c>
      <c r="B331" s="1199" t="s">
        <v>4076</v>
      </c>
      <c r="C331" s="1199" t="s">
        <v>4</v>
      </c>
    </row>
    <row r="332" spans="1:3">
      <c r="A332" s="1200">
        <v>43872</v>
      </c>
      <c r="B332" s="1199" t="s">
        <v>4075</v>
      </c>
      <c r="C332" s="1199" t="s">
        <v>4069</v>
      </c>
    </row>
    <row r="333" spans="1:3">
      <c r="A333" s="1200">
        <v>43884</v>
      </c>
      <c r="B333" s="1199" t="s">
        <v>4074</v>
      </c>
      <c r="C333" s="1199" t="s">
        <v>373</v>
      </c>
    </row>
    <row r="334" spans="1:3">
      <c r="A334" s="1200">
        <v>43885</v>
      </c>
      <c r="B334" s="1199" t="s">
        <v>4072</v>
      </c>
      <c r="C334" s="1199" t="s">
        <v>4</v>
      </c>
    </row>
    <row r="335" spans="1:3">
      <c r="A335" s="1200">
        <v>43910</v>
      </c>
      <c r="B335" s="1199" t="s">
        <v>4073</v>
      </c>
      <c r="C335" s="1199" t="s">
        <v>4062</v>
      </c>
    </row>
    <row r="336" spans="1:3">
      <c r="A336" s="1200">
        <v>43950</v>
      </c>
      <c r="B336" s="1199" t="s">
        <v>4071</v>
      </c>
      <c r="C336" s="1199" t="s">
        <v>4057</v>
      </c>
    </row>
    <row r="337" spans="1:3">
      <c r="A337" s="1200">
        <v>43954</v>
      </c>
      <c r="B337" s="1199" t="s">
        <v>4070</v>
      </c>
      <c r="C337" s="1199" t="s">
        <v>373</v>
      </c>
    </row>
    <row r="338" spans="1:3">
      <c r="A338" s="1200">
        <v>43955</v>
      </c>
      <c r="B338" s="1199" t="s">
        <v>4068</v>
      </c>
      <c r="C338" s="1199" t="s">
        <v>4</v>
      </c>
    </row>
    <row r="339" spans="1:3">
      <c r="A339" s="1200">
        <v>43956</v>
      </c>
      <c r="B339" s="1199" t="s">
        <v>4067</v>
      </c>
      <c r="C339" s="1199" t="s">
        <v>4069</v>
      </c>
    </row>
    <row r="340" spans="1:3">
      <c r="A340" s="1200">
        <v>43957</v>
      </c>
      <c r="B340" s="1199" t="s">
        <v>4072</v>
      </c>
      <c r="C340" s="1199" t="s">
        <v>4057</v>
      </c>
    </row>
    <row r="341" spans="1:3">
      <c r="A341" s="1200">
        <v>44035</v>
      </c>
      <c r="B341" s="1199" t="s">
        <v>4066</v>
      </c>
      <c r="C341" s="1199" t="s">
        <v>4059</v>
      </c>
    </row>
    <row r="342" spans="1:3">
      <c r="A342" s="1200">
        <v>44036</v>
      </c>
      <c r="B342" s="1199" t="s">
        <v>4061</v>
      </c>
      <c r="C342" s="1199" t="s">
        <v>4062</v>
      </c>
    </row>
    <row r="343" spans="1:3">
      <c r="A343" s="1200">
        <v>44053</v>
      </c>
      <c r="B343" s="1199" t="s">
        <v>4065</v>
      </c>
      <c r="C343" s="1199" t="s">
        <v>4</v>
      </c>
    </row>
    <row r="344" spans="1:3">
      <c r="A344" s="1200">
        <v>44095</v>
      </c>
      <c r="B344" s="1199" t="s">
        <v>4064</v>
      </c>
      <c r="C344" s="1199" t="s">
        <v>4</v>
      </c>
    </row>
    <row r="345" spans="1:3">
      <c r="A345" s="1200">
        <v>44096</v>
      </c>
      <c r="B345" s="1199" t="s">
        <v>4063</v>
      </c>
      <c r="C345" s="1199" t="s">
        <v>4069</v>
      </c>
    </row>
    <row r="346" spans="1:3">
      <c r="A346" s="1200">
        <v>44138</v>
      </c>
      <c r="B346" s="1199" t="s">
        <v>4060</v>
      </c>
      <c r="C346" s="1199" t="s">
        <v>4069</v>
      </c>
    </row>
    <row r="347" spans="1:3">
      <c r="A347" s="1200">
        <v>44158</v>
      </c>
      <c r="B347" s="1199" t="s">
        <v>4058</v>
      </c>
      <c r="C347" s="1199" t="s">
        <v>4</v>
      </c>
    </row>
    <row r="348" spans="1:3">
      <c r="A348" s="1200">
        <v>44197</v>
      </c>
      <c r="B348" s="1199" t="s">
        <v>4078</v>
      </c>
      <c r="C348" s="1199" t="s">
        <v>4062</v>
      </c>
    </row>
    <row r="349" spans="1:3">
      <c r="A349" s="1200">
        <v>44207</v>
      </c>
      <c r="B349" s="1199" t="s">
        <v>4076</v>
      </c>
      <c r="C349" s="1199" t="s">
        <v>4</v>
      </c>
    </row>
    <row r="350" spans="1:3">
      <c r="A350" s="1200">
        <v>44238</v>
      </c>
      <c r="B350" s="1199" t="s">
        <v>4075</v>
      </c>
      <c r="C350" s="1199" t="s">
        <v>4059</v>
      </c>
    </row>
    <row r="351" spans="1:3">
      <c r="A351" s="1200">
        <v>44250</v>
      </c>
      <c r="B351" s="1199" t="s">
        <v>4074</v>
      </c>
      <c r="C351" s="1199" t="s">
        <v>4069</v>
      </c>
    </row>
    <row r="352" spans="1:3">
      <c r="A352" s="1200">
        <v>44275</v>
      </c>
      <c r="B352" s="1199" t="s">
        <v>4073</v>
      </c>
      <c r="C352" s="1199" t="s">
        <v>4077</v>
      </c>
    </row>
    <row r="353" spans="1:3">
      <c r="A353" s="1200">
        <v>44315</v>
      </c>
      <c r="B353" s="1199" t="s">
        <v>4071</v>
      </c>
      <c r="C353" s="1199" t="s">
        <v>4059</v>
      </c>
    </row>
    <row r="354" spans="1:3">
      <c r="A354" s="1200">
        <v>44319</v>
      </c>
      <c r="B354" s="1199" t="s">
        <v>4070</v>
      </c>
      <c r="C354" s="1199" t="s">
        <v>4</v>
      </c>
    </row>
    <row r="355" spans="1:3">
      <c r="A355" s="1200">
        <v>44320</v>
      </c>
      <c r="B355" s="1199" t="s">
        <v>4068</v>
      </c>
      <c r="C355" s="1199" t="s">
        <v>4069</v>
      </c>
    </row>
    <row r="356" spans="1:3">
      <c r="A356" s="1200">
        <v>44321</v>
      </c>
      <c r="B356" s="1199" t="s">
        <v>4067</v>
      </c>
      <c r="C356" s="1199" t="s">
        <v>4057</v>
      </c>
    </row>
    <row r="357" spans="1:3">
      <c r="A357" s="1200">
        <v>44399</v>
      </c>
      <c r="B357" s="1199" t="s">
        <v>4066</v>
      </c>
      <c r="C357" s="1199" t="s">
        <v>4059</v>
      </c>
    </row>
    <row r="358" spans="1:3">
      <c r="A358" s="1200">
        <v>44400</v>
      </c>
      <c r="B358" s="1199" t="s">
        <v>4061</v>
      </c>
      <c r="C358" s="1199" t="s">
        <v>4062</v>
      </c>
    </row>
    <row r="359" spans="1:3">
      <c r="A359" s="1200">
        <v>44416</v>
      </c>
      <c r="B359" s="1199" t="s">
        <v>4065</v>
      </c>
      <c r="C359" s="1199" t="s">
        <v>373</v>
      </c>
    </row>
    <row r="360" spans="1:3">
      <c r="A360" s="1200">
        <v>44417</v>
      </c>
      <c r="B360" s="1199" t="s">
        <v>4072</v>
      </c>
      <c r="C360" s="1199" t="s">
        <v>4</v>
      </c>
    </row>
    <row r="361" spans="1:3">
      <c r="A361" s="1200">
        <v>44459</v>
      </c>
      <c r="B361" s="1199" t="s">
        <v>4064</v>
      </c>
      <c r="C361" s="1199" t="s">
        <v>4</v>
      </c>
    </row>
    <row r="362" spans="1:3">
      <c r="A362" s="1200">
        <v>44462</v>
      </c>
      <c r="B362" s="1199" t="s">
        <v>4063</v>
      </c>
      <c r="C362" s="1199" t="s">
        <v>4059</v>
      </c>
    </row>
    <row r="363" spans="1:3">
      <c r="A363" s="1200">
        <v>44503</v>
      </c>
      <c r="B363" s="1199" t="s">
        <v>4060</v>
      </c>
      <c r="C363" s="1199" t="s">
        <v>4057</v>
      </c>
    </row>
    <row r="364" spans="1:3">
      <c r="A364" s="1200">
        <v>44523</v>
      </c>
      <c r="B364" s="1199" t="s">
        <v>4058</v>
      </c>
      <c r="C364" s="1199" t="s">
        <v>4069</v>
      </c>
    </row>
    <row r="365" spans="1:3">
      <c r="A365" s="1200">
        <v>44562</v>
      </c>
      <c r="B365" s="1199" t="s">
        <v>4078</v>
      </c>
      <c r="C365" s="1199" t="s">
        <v>4077</v>
      </c>
    </row>
    <row r="366" spans="1:3">
      <c r="A366" s="1200">
        <v>44571</v>
      </c>
      <c r="B366" s="1199" t="s">
        <v>4076</v>
      </c>
      <c r="C366" s="1199" t="s">
        <v>4</v>
      </c>
    </row>
    <row r="367" spans="1:3">
      <c r="A367" s="1200">
        <v>44603</v>
      </c>
      <c r="B367" s="1199" t="s">
        <v>4075</v>
      </c>
      <c r="C367" s="1199" t="s">
        <v>4062</v>
      </c>
    </row>
    <row r="368" spans="1:3">
      <c r="A368" s="1200">
        <v>44615</v>
      </c>
      <c r="B368" s="1199" t="s">
        <v>4074</v>
      </c>
      <c r="C368" s="1199" t="s">
        <v>4057</v>
      </c>
    </row>
    <row r="369" spans="1:3">
      <c r="A369" s="1200">
        <v>44641</v>
      </c>
      <c r="B369" s="1199" t="s">
        <v>4073</v>
      </c>
      <c r="C369" s="1199" t="s">
        <v>4</v>
      </c>
    </row>
    <row r="370" spans="1:3">
      <c r="A370" s="1200">
        <v>44680</v>
      </c>
      <c r="B370" s="1199" t="s">
        <v>4071</v>
      </c>
      <c r="C370" s="1199" t="s">
        <v>4062</v>
      </c>
    </row>
    <row r="371" spans="1:3">
      <c r="A371" s="1200">
        <v>44684</v>
      </c>
      <c r="B371" s="1199" t="s">
        <v>4070</v>
      </c>
      <c r="C371" s="1199" t="s">
        <v>4069</v>
      </c>
    </row>
    <row r="372" spans="1:3">
      <c r="A372" s="1200">
        <v>44685</v>
      </c>
      <c r="B372" s="1199" t="s">
        <v>4068</v>
      </c>
      <c r="C372" s="1199" t="s">
        <v>4057</v>
      </c>
    </row>
    <row r="373" spans="1:3">
      <c r="A373" s="1200">
        <v>44686</v>
      </c>
      <c r="B373" s="1199" t="s">
        <v>4067</v>
      </c>
      <c r="C373" s="1199" t="s">
        <v>4059</v>
      </c>
    </row>
    <row r="374" spans="1:3">
      <c r="A374" s="1200">
        <v>44760</v>
      </c>
      <c r="B374" s="1199" t="s">
        <v>4066</v>
      </c>
      <c r="C374" s="1199" t="s">
        <v>4</v>
      </c>
    </row>
    <row r="375" spans="1:3">
      <c r="A375" s="1200">
        <v>44784</v>
      </c>
      <c r="B375" s="1199" t="s">
        <v>4065</v>
      </c>
      <c r="C375" s="1199" t="s">
        <v>4059</v>
      </c>
    </row>
    <row r="376" spans="1:3">
      <c r="A376" s="1200">
        <v>44823</v>
      </c>
      <c r="B376" s="1199" t="s">
        <v>4064</v>
      </c>
      <c r="C376" s="1199" t="s">
        <v>4</v>
      </c>
    </row>
    <row r="377" spans="1:3">
      <c r="A377" s="1200">
        <v>44827</v>
      </c>
      <c r="B377" s="1199" t="s">
        <v>4063</v>
      </c>
      <c r="C377" s="1199" t="s">
        <v>4062</v>
      </c>
    </row>
    <row r="378" spans="1:3">
      <c r="A378" s="1200">
        <v>44844</v>
      </c>
      <c r="B378" s="1199" t="s">
        <v>4061</v>
      </c>
      <c r="C378" s="1199" t="s">
        <v>4</v>
      </c>
    </row>
    <row r="379" spans="1:3">
      <c r="A379" s="1200">
        <v>44868</v>
      </c>
      <c r="B379" s="1199" t="s">
        <v>4060</v>
      </c>
      <c r="C379" s="1199" t="s">
        <v>4059</v>
      </c>
    </row>
    <row r="380" spans="1:3">
      <c r="A380" s="1200">
        <v>44888</v>
      </c>
      <c r="B380" s="1199" t="s">
        <v>4058</v>
      </c>
      <c r="C380" s="1199" t="s">
        <v>4057</v>
      </c>
    </row>
    <row r="381" spans="1:3">
      <c r="A381" s="1200">
        <v>44927</v>
      </c>
      <c r="B381" s="1199" t="s">
        <v>4078</v>
      </c>
      <c r="C381" s="1199" t="s">
        <v>373</v>
      </c>
    </row>
    <row r="382" spans="1:3">
      <c r="A382" s="1200">
        <v>44928</v>
      </c>
      <c r="B382" s="1199" t="s">
        <v>4072</v>
      </c>
      <c r="C382" s="1199" t="s">
        <v>4</v>
      </c>
    </row>
    <row r="383" spans="1:3">
      <c r="A383" s="1200">
        <v>44935</v>
      </c>
      <c r="B383" s="1199" t="s">
        <v>4076</v>
      </c>
      <c r="C383" s="1199" t="s">
        <v>4</v>
      </c>
    </row>
    <row r="384" spans="1:3">
      <c r="A384" s="1200">
        <v>44968</v>
      </c>
      <c r="B384" s="1199" t="s">
        <v>4075</v>
      </c>
      <c r="C384" s="1199" t="s">
        <v>4077</v>
      </c>
    </row>
    <row r="385" spans="1:3">
      <c r="A385" s="1200">
        <v>44980</v>
      </c>
      <c r="B385" s="1199" t="s">
        <v>4074</v>
      </c>
      <c r="C385" s="1199" t="s">
        <v>4059</v>
      </c>
    </row>
    <row r="386" spans="1:3">
      <c r="A386" s="1200">
        <v>45006</v>
      </c>
      <c r="B386" s="1199" t="s">
        <v>4073</v>
      </c>
      <c r="C386" s="1199" t="s">
        <v>4069</v>
      </c>
    </row>
    <row r="387" spans="1:3">
      <c r="A387" s="1200">
        <v>45045</v>
      </c>
      <c r="B387" s="1199" t="s">
        <v>4071</v>
      </c>
      <c r="C387" s="1199" t="s">
        <v>4077</v>
      </c>
    </row>
    <row r="388" spans="1:3">
      <c r="A388" s="1200">
        <v>45049</v>
      </c>
      <c r="B388" s="1199" t="s">
        <v>4070</v>
      </c>
      <c r="C388" s="1199" t="s">
        <v>4057</v>
      </c>
    </row>
    <row r="389" spans="1:3">
      <c r="A389" s="1200">
        <v>45050</v>
      </c>
      <c r="B389" s="1199" t="s">
        <v>4068</v>
      </c>
      <c r="C389" s="1199" t="s">
        <v>4059</v>
      </c>
    </row>
    <row r="390" spans="1:3">
      <c r="A390" s="1200">
        <v>45051</v>
      </c>
      <c r="B390" s="1199" t="s">
        <v>4067</v>
      </c>
      <c r="C390" s="1199" t="s">
        <v>4062</v>
      </c>
    </row>
    <row r="391" spans="1:3">
      <c r="A391" s="1200">
        <v>45124</v>
      </c>
      <c r="B391" s="1199" t="s">
        <v>4066</v>
      </c>
      <c r="C391" s="1199" t="s">
        <v>4</v>
      </c>
    </row>
    <row r="392" spans="1:3">
      <c r="A392" s="1200">
        <v>45149</v>
      </c>
      <c r="B392" s="1199" t="s">
        <v>4065</v>
      </c>
      <c r="C392" s="1199" t="s">
        <v>4062</v>
      </c>
    </row>
    <row r="393" spans="1:3">
      <c r="A393" s="1200">
        <v>45187</v>
      </c>
      <c r="B393" s="1199" t="s">
        <v>4064</v>
      </c>
      <c r="C393" s="1199" t="s">
        <v>4</v>
      </c>
    </row>
    <row r="394" spans="1:3">
      <c r="A394" s="1200">
        <v>45192</v>
      </c>
      <c r="B394" s="1199" t="s">
        <v>4063</v>
      </c>
      <c r="C394" s="1199" t="s">
        <v>4077</v>
      </c>
    </row>
    <row r="395" spans="1:3">
      <c r="A395" s="1200">
        <v>45208</v>
      </c>
      <c r="B395" s="1199" t="s">
        <v>4061</v>
      </c>
      <c r="C395" s="1199" t="s">
        <v>4</v>
      </c>
    </row>
    <row r="396" spans="1:3">
      <c r="A396" s="1200">
        <v>45233</v>
      </c>
      <c r="B396" s="1199" t="s">
        <v>4060</v>
      </c>
      <c r="C396" s="1199" t="s">
        <v>4062</v>
      </c>
    </row>
    <row r="397" spans="1:3">
      <c r="A397" s="1200">
        <v>45253</v>
      </c>
      <c r="B397" s="1199" t="s">
        <v>4058</v>
      </c>
      <c r="C397" s="1199" t="s">
        <v>4059</v>
      </c>
    </row>
    <row r="398" spans="1:3">
      <c r="A398" s="1200">
        <v>45292</v>
      </c>
      <c r="B398" s="1199" t="s">
        <v>4078</v>
      </c>
      <c r="C398" s="1199" t="s">
        <v>4</v>
      </c>
    </row>
    <row r="399" spans="1:3">
      <c r="A399" s="1200">
        <v>45299</v>
      </c>
      <c r="B399" s="1199" t="s">
        <v>4076</v>
      </c>
      <c r="C399" s="1199" t="s">
        <v>4</v>
      </c>
    </row>
    <row r="400" spans="1:3">
      <c r="A400" s="1200">
        <v>45333</v>
      </c>
      <c r="B400" s="1199" t="s">
        <v>4075</v>
      </c>
      <c r="C400" s="1199" t="s">
        <v>373</v>
      </c>
    </row>
    <row r="401" spans="1:3">
      <c r="A401" s="1200">
        <v>45334</v>
      </c>
      <c r="B401" s="1199" t="s">
        <v>4072</v>
      </c>
      <c r="C401" s="1199" t="s">
        <v>4</v>
      </c>
    </row>
    <row r="402" spans="1:3">
      <c r="A402" s="1200">
        <v>45345</v>
      </c>
      <c r="B402" s="1199" t="s">
        <v>4074</v>
      </c>
      <c r="C402" s="1199" t="s">
        <v>4062</v>
      </c>
    </row>
    <row r="403" spans="1:3">
      <c r="A403" s="1200">
        <v>45371</v>
      </c>
      <c r="B403" s="1199" t="s">
        <v>4073</v>
      </c>
      <c r="C403" s="1199" t="s">
        <v>4057</v>
      </c>
    </row>
    <row r="404" spans="1:3">
      <c r="A404" s="1200">
        <v>45411</v>
      </c>
      <c r="B404" s="1199" t="s">
        <v>4071</v>
      </c>
      <c r="C404" s="1199" t="s">
        <v>4</v>
      </c>
    </row>
    <row r="405" spans="1:3">
      <c r="A405" s="1200">
        <v>45415</v>
      </c>
      <c r="B405" s="1199" t="s">
        <v>4070</v>
      </c>
      <c r="C405" s="1199" t="s">
        <v>4062</v>
      </c>
    </row>
    <row r="406" spans="1:3">
      <c r="A406" s="1200">
        <v>45416</v>
      </c>
      <c r="B406" s="1199" t="s">
        <v>4068</v>
      </c>
      <c r="C406" s="1199" t="s">
        <v>4077</v>
      </c>
    </row>
    <row r="407" spans="1:3">
      <c r="A407" s="1200">
        <v>45417</v>
      </c>
      <c r="B407" s="1199" t="s">
        <v>4067</v>
      </c>
      <c r="C407" s="1199" t="s">
        <v>373</v>
      </c>
    </row>
    <row r="408" spans="1:3">
      <c r="A408" s="1200">
        <v>45418</v>
      </c>
      <c r="B408" s="1199" t="s">
        <v>4072</v>
      </c>
      <c r="C408" s="1199" t="s">
        <v>4</v>
      </c>
    </row>
    <row r="409" spans="1:3">
      <c r="A409" s="1200">
        <v>45488</v>
      </c>
      <c r="B409" s="1199" t="s">
        <v>4066</v>
      </c>
      <c r="C409" s="1199" t="s">
        <v>4</v>
      </c>
    </row>
    <row r="410" spans="1:3">
      <c r="A410" s="1200">
        <v>45515</v>
      </c>
      <c r="B410" s="1199" t="s">
        <v>4065</v>
      </c>
      <c r="C410" s="1199" t="s">
        <v>373</v>
      </c>
    </row>
    <row r="411" spans="1:3">
      <c r="A411" s="1200">
        <v>45516</v>
      </c>
      <c r="B411" s="1199" t="s">
        <v>4072</v>
      </c>
      <c r="C411" s="1199" t="s">
        <v>4</v>
      </c>
    </row>
    <row r="412" spans="1:3">
      <c r="A412" s="1200">
        <v>45551</v>
      </c>
      <c r="B412" s="1199" t="s">
        <v>4064</v>
      </c>
      <c r="C412" s="1199" t="s">
        <v>4</v>
      </c>
    </row>
    <row r="413" spans="1:3">
      <c r="A413" s="1200">
        <v>45557</v>
      </c>
      <c r="B413" s="1199" t="s">
        <v>4063</v>
      </c>
      <c r="C413" s="1199" t="s">
        <v>373</v>
      </c>
    </row>
    <row r="414" spans="1:3">
      <c r="A414" s="1200">
        <v>45558</v>
      </c>
      <c r="B414" s="1199" t="s">
        <v>4072</v>
      </c>
      <c r="C414" s="1199" t="s">
        <v>4</v>
      </c>
    </row>
    <row r="415" spans="1:3">
      <c r="A415" s="1200">
        <v>45579</v>
      </c>
      <c r="B415" s="1199" t="s">
        <v>4061</v>
      </c>
      <c r="C415" s="1199" t="s">
        <v>4</v>
      </c>
    </row>
    <row r="416" spans="1:3">
      <c r="A416" s="1200">
        <v>45599</v>
      </c>
      <c r="B416" s="1199" t="s">
        <v>4060</v>
      </c>
      <c r="C416" s="1199" t="s">
        <v>373</v>
      </c>
    </row>
    <row r="417" spans="1:3">
      <c r="A417" s="1200">
        <v>45600</v>
      </c>
      <c r="B417" s="1199" t="s">
        <v>4072</v>
      </c>
      <c r="C417" s="1199" t="s">
        <v>4</v>
      </c>
    </row>
    <row r="418" spans="1:3">
      <c r="A418" s="1200">
        <v>45619</v>
      </c>
      <c r="B418" s="1199" t="s">
        <v>4058</v>
      </c>
      <c r="C418" s="1199" t="s">
        <v>4077</v>
      </c>
    </row>
    <row r="419" spans="1:3">
      <c r="A419" s="1200">
        <v>45658</v>
      </c>
      <c r="B419" s="1199" t="s">
        <v>4078</v>
      </c>
      <c r="C419" s="1199" t="s">
        <v>4057</v>
      </c>
    </row>
    <row r="420" spans="1:3">
      <c r="A420" s="1200">
        <v>45670</v>
      </c>
      <c r="B420" s="1199" t="s">
        <v>4076</v>
      </c>
      <c r="C420" s="1199" t="s">
        <v>4</v>
      </c>
    </row>
    <row r="421" spans="1:3">
      <c r="A421" s="1200">
        <v>45699</v>
      </c>
      <c r="B421" s="1199" t="s">
        <v>4075</v>
      </c>
      <c r="C421" s="1199" t="s">
        <v>4069</v>
      </c>
    </row>
    <row r="422" spans="1:3">
      <c r="A422" s="1200">
        <v>45711</v>
      </c>
      <c r="B422" s="1199" t="s">
        <v>4074</v>
      </c>
      <c r="C422" s="1199" t="s">
        <v>373</v>
      </c>
    </row>
    <row r="423" spans="1:3">
      <c r="A423" s="1200">
        <v>45712</v>
      </c>
      <c r="B423" s="1199" t="s">
        <v>4072</v>
      </c>
      <c r="C423" s="1199" t="s">
        <v>4</v>
      </c>
    </row>
    <row r="424" spans="1:3">
      <c r="A424" s="1200">
        <v>45736</v>
      </c>
      <c r="B424" s="1199" t="s">
        <v>4073</v>
      </c>
      <c r="C424" s="1199" t="s">
        <v>4059</v>
      </c>
    </row>
    <row r="425" spans="1:3">
      <c r="A425" s="1200">
        <v>45776</v>
      </c>
      <c r="B425" s="1199" t="s">
        <v>4071</v>
      </c>
      <c r="C425" s="1199" t="s">
        <v>4069</v>
      </c>
    </row>
    <row r="426" spans="1:3">
      <c r="A426" s="1200">
        <v>45780</v>
      </c>
      <c r="B426" s="1199" t="s">
        <v>4070</v>
      </c>
      <c r="C426" s="1199" t="s">
        <v>4077</v>
      </c>
    </row>
    <row r="427" spans="1:3">
      <c r="A427" s="1200">
        <v>45781</v>
      </c>
      <c r="B427" s="1199" t="s">
        <v>4068</v>
      </c>
      <c r="C427" s="1199" t="s">
        <v>373</v>
      </c>
    </row>
    <row r="428" spans="1:3">
      <c r="A428" s="1200">
        <v>45782</v>
      </c>
      <c r="B428" s="1199" t="s">
        <v>4067</v>
      </c>
      <c r="C428" s="1199" t="s">
        <v>4</v>
      </c>
    </row>
    <row r="429" spans="1:3">
      <c r="A429" s="1200">
        <v>45783</v>
      </c>
      <c r="B429" s="1199" t="s">
        <v>4072</v>
      </c>
      <c r="C429" s="1199" t="s">
        <v>4069</v>
      </c>
    </row>
    <row r="430" spans="1:3">
      <c r="A430" s="1200">
        <v>45859</v>
      </c>
      <c r="B430" s="1199" t="s">
        <v>4066</v>
      </c>
      <c r="C430" s="1199" t="s">
        <v>4</v>
      </c>
    </row>
    <row r="431" spans="1:3">
      <c r="A431" s="1200">
        <v>45880</v>
      </c>
      <c r="B431" s="1199" t="s">
        <v>4065</v>
      </c>
      <c r="C431" s="1199" t="s">
        <v>4</v>
      </c>
    </row>
    <row r="432" spans="1:3">
      <c r="A432" s="1200">
        <v>45915</v>
      </c>
      <c r="B432" s="1199" t="s">
        <v>4064</v>
      </c>
      <c r="C432" s="1199" t="s">
        <v>4</v>
      </c>
    </row>
    <row r="433" spans="1:3">
      <c r="A433" s="1200">
        <v>45923</v>
      </c>
      <c r="B433" s="1199" t="s">
        <v>4063</v>
      </c>
      <c r="C433" s="1199" t="s">
        <v>4069</v>
      </c>
    </row>
    <row r="434" spans="1:3">
      <c r="A434" s="1200">
        <v>45943</v>
      </c>
      <c r="B434" s="1199" t="s">
        <v>4061</v>
      </c>
      <c r="C434" s="1199" t="s">
        <v>4</v>
      </c>
    </row>
    <row r="435" spans="1:3">
      <c r="A435" s="1200">
        <v>45964</v>
      </c>
      <c r="B435" s="1199" t="s">
        <v>4060</v>
      </c>
      <c r="C435" s="1199" t="s">
        <v>4</v>
      </c>
    </row>
    <row r="436" spans="1:3">
      <c r="A436" s="1200">
        <v>45984</v>
      </c>
      <c r="B436" s="1199" t="s">
        <v>4058</v>
      </c>
      <c r="C436" s="1199" t="s">
        <v>373</v>
      </c>
    </row>
    <row r="437" spans="1:3">
      <c r="A437" s="1200">
        <v>45985</v>
      </c>
      <c r="B437" s="1199" t="s">
        <v>4072</v>
      </c>
      <c r="C437" s="1199" t="s">
        <v>4</v>
      </c>
    </row>
    <row r="438" spans="1:3">
      <c r="A438" s="1200">
        <v>46023</v>
      </c>
      <c r="B438" s="1199" t="s">
        <v>4078</v>
      </c>
      <c r="C438" s="1199" t="s">
        <v>4059</v>
      </c>
    </row>
    <row r="439" spans="1:3">
      <c r="A439" s="1200">
        <v>46034</v>
      </c>
      <c r="B439" s="1199" t="s">
        <v>4076</v>
      </c>
      <c r="C439" s="1199" t="s">
        <v>4</v>
      </c>
    </row>
    <row r="440" spans="1:3">
      <c r="A440" s="1200">
        <v>46064</v>
      </c>
      <c r="B440" s="1199" t="s">
        <v>4075</v>
      </c>
      <c r="C440" s="1199" t="s">
        <v>4057</v>
      </c>
    </row>
    <row r="441" spans="1:3">
      <c r="A441" s="1200">
        <v>46076</v>
      </c>
      <c r="B441" s="1199" t="s">
        <v>4074</v>
      </c>
      <c r="C441" s="1199" t="s">
        <v>4</v>
      </c>
    </row>
    <row r="442" spans="1:3">
      <c r="A442" s="1200">
        <v>46101</v>
      </c>
      <c r="B442" s="1199" t="s">
        <v>4073</v>
      </c>
      <c r="C442" s="1199" t="s">
        <v>4062</v>
      </c>
    </row>
    <row r="443" spans="1:3">
      <c r="A443" s="1200">
        <v>46141</v>
      </c>
      <c r="B443" s="1199" t="s">
        <v>4071</v>
      </c>
      <c r="C443" s="1199" t="s">
        <v>4057</v>
      </c>
    </row>
    <row r="444" spans="1:3">
      <c r="A444" s="1200">
        <v>46145</v>
      </c>
      <c r="B444" s="1199" t="s">
        <v>4070</v>
      </c>
      <c r="C444" s="1199" t="s">
        <v>373</v>
      </c>
    </row>
    <row r="445" spans="1:3">
      <c r="A445" s="1200">
        <v>46146</v>
      </c>
      <c r="B445" s="1199" t="s">
        <v>4068</v>
      </c>
      <c r="C445" s="1199" t="s">
        <v>4</v>
      </c>
    </row>
    <row r="446" spans="1:3">
      <c r="A446" s="1200">
        <v>46147</v>
      </c>
      <c r="B446" s="1199" t="s">
        <v>4067</v>
      </c>
      <c r="C446" s="1199" t="s">
        <v>4069</v>
      </c>
    </row>
    <row r="447" spans="1:3">
      <c r="A447" s="1200">
        <v>46148</v>
      </c>
      <c r="B447" s="1199" t="s">
        <v>4072</v>
      </c>
      <c r="C447" s="1199" t="s">
        <v>4057</v>
      </c>
    </row>
    <row r="448" spans="1:3">
      <c r="A448" s="1200">
        <v>46223</v>
      </c>
      <c r="B448" s="1199" t="s">
        <v>4066</v>
      </c>
      <c r="C448" s="1199" t="s">
        <v>4</v>
      </c>
    </row>
    <row r="449" spans="1:3">
      <c r="A449" s="1200">
        <v>46245</v>
      </c>
      <c r="B449" s="1199" t="s">
        <v>4065</v>
      </c>
      <c r="C449" s="1199" t="s">
        <v>4069</v>
      </c>
    </row>
    <row r="450" spans="1:3">
      <c r="A450" s="1200">
        <v>46286</v>
      </c>
      <c r="B450" s="1199" t="s">
        <v>4064</v>
      </c>
      <c r="C450" s="1199" t="s">
        <v>4</v>
      </c>
    </row>
    <row r="451" spans="1:3">
      <c r="A451" s="1200">
        <v>46287</v>
      </c>
      <c r="B451" s="1199" t="s">
        <v>4079</v>
      </c>
      <c r="C451" s="1199" t="s">
        <v>4069</v>
      </c>
    </row>
    <row r="452" spans="1:3">
      <c r="A452" s="1200">
        <v>46288</v>
      </c>
      <c r="B452" s="1199" t="s">
        <v>4063</v>
      </c>
      <c r="C452" s="1199" t="s">
        <v>4057</v>
      </c>
    </row>
    <row r="453" spans="1:3">
      <c r="A453" s="1200">
        <v>46307</v>
      </c>
      <c r="B453" s="1199" t="s">
        <v>4061</v>
      </c>
      <c r="C453" s="1199" t="s">
        <v>4</v>
      </c>
    </row>
    <row r="454" spans="1:3">
      <c r="A454" s="1200">
        <v>46329</v>
      </c>
      <c r="B454" s="1199" t="s">
        <v>4060</v>
      </c>
      <c r="C454" s="1199" t="s">
        <v>4069</v>
      </c>
    </row>
    <row r="455" spans="1:3">
      <c r="A455" s="1200">
        <v>46349</v>
      </c>
      <c r="B455" s="1199" t="s">
        <v>4058</v>
      </c>
      <c r="C455" s="1199" t="s">
        <v>4</v>
      </c>
    </row>
    <row r="456" spans="1:3">
      <c r="A456" s="1200">
        <v>46388</v>
      </c>
      <c r="B456" s="1199" t="s">
        <v>4078</v>
      </c>
      <c r="C456" s="1199" t="s">
        <v>4062</v>
      </c>
    </row>
    <row r="457" spans="1:3">
      <c r="A457" s="1200">
        <v>46398</v>
      </c>
      <c r="B457" s="1199" t="s">
        <v>4076</v>
      </c>
      <c r="C457" s="1199" t="s">
        <v>4</v>
      </c>
    </row>
    <row r="458" spans="1:3">
      <c r="A458" s="1200">
        <v>46429</v>
      </c>
      <c r="B458" s="1199" t="s">
        <v>4075</v>
      </c>
      <c r="C458" s="1199" t="s">
        <v>4059</v>
      </c>
    </row>
    <row r="459" spans="1:3">
      <c r="A459" s="1200">
        <v>46441</v>
      </c>
      <c r="B459" s="1199" t="s">
        <v>4074</v>
      </c>
      <c r="C459" s="1199" t="s">
        <v>4069</v>
      </c>
    </row>
    <row r="460" spans="1:3">
      <c r="A460" s="1200">
        <v>46467</v>
      </c>
      <c r="B460" s="1199" t="s">
        <v>4073</v>
      </c>
      <c r="C460" s="1199" t="s">
        <v>373</v>
      </c>
    </row>
    <row r="461" spans="1:3">
      <c r="A461" s="1200">
        <v>46468</v>
      </c>
      <c r="B461" s="1199" t="s">
        <v>4072</v>
      </c>
      <c r="C461" s="1199" t="s">
        <v>4</v>
      </c>
    </row>
    <row r="462" spans="1:3">
      <c r="A462" s="1200">
        <v>46506</v>
      </c>
      <c r="B462" s="1199" t="s">
        <v>4071</v>
      </c>
      <c r="C462" s="1199" t="s">
        <v>4059</v>
      </c>
    </row>
    <row r="463" spans="1:3">
      <c r="A463" s="1200">
        <v>46510</v>
      </c>
      <c r="B463" s="1199" t="s">
        <v>4070</v>
      </c>
      <c r="C463" s="1199" t="s">
        <v>4</v>
      </c>
    </row>
    <row r="464" spans="1:3">
      <c r="A464" s="1200">
        <v>46511</v>
      </c>
      <c r="B464" s="1199" t="s">
        <v>4068</v>
      </c>
      <c r="C464" s="1199" t="s">
        <v>4069</v>
      </c>
    </row>
    <row r="465" spans="1:3">
      <c r="A465" s="1200">
        <v>46512</v>
      </c>
      <c r="B465" s="1199" t="s">
        <v>4067</v>
      </c>
      <c r="C465" s="1199" t="s">
        <v>4057</v>
      </c>
    </row>
    <row r="466" spans="1:3">
      <c r="A466" s="1200">
        <v>46587</v>
      </c>
      <c r="B466" s="1199" t="s">
        <v>4066</v>
      </c>
      <c r="C466" s="1199" t="s">
        <v>4</v>
      </c>
    </row>
    <row r="467" spans="1:3">
      <c r="A467" s="1200">
        <v>46610</v>
      </c>
      <c r="B467" s="1199" t="s">
        <v>4065</v>
      </c>
      <c r="C467" s="1199" t="s">
        <v>4057</v>
      </c>
    </row>
    <row r="468" spans="1:3">
      <c r="A468" s="1200">
        <v>46650</v>
      </c>
      <c r="B468" s="1199" t="s">
        <v>4064</v>
      </c>
      <c r="C468" s="1199" t="s">
        <v>4</v>
      </c>
    </row>
    <row r="469" spans="1:3">
      <c r="A469" s="1200">
        <v>46653</v>
      </c>
      <c r="B469" s="1199" t="s">
        <v>4063</v>
      </c>
      <c r="C469" s="1199" t="s">
        <v>4059</v>
      </c>
    </row>
    <row r="470" spans="1:3">
      <c r="A470" s="1200">
        <v>46671</v>
      </c>
      <c r="B470" s="1199" t="s">
        <v>4061</v>
      </c>
      <c r="C470" s="1199" t="s">
        <v>4</v>
      </c>
    </row>
    <row r="471" spans="1:3">
      <c r="A471" s="1200">
        <v>46694</v>
      </c>
      <c r="B471" s="1199" t="s">
        <v>4060</v>
      </c>
      <c r="C471" s="1199" t="s">
        <v>4057</v>
      </c>
    </row>
    <row r="472" spans="1:3">
      <c r="A472" s="1200">
        <v>46714</v>
      </c>
      <c r="B472" s="1199" t="s">
        <v>4058</v>
      </c>
      <c r="C472" s="1199" t="s">
        <v>4069</v>
      </c>
    </row>
    <row r="473" spans="1:3">
      <c r="A473" s="1200">
        <v>46753</v>
      </c>
      <c r="B473" s="1199" t="s">
        <v>4078</v>
      </c>
      <c r="C473" s="1199" t="s">
        <v>4077</v>
      </c>
    </row>
    <row r="474" spans="1:3">
      <c r="A474" s="1200">
        <v>46762</v>
      </c>
      <c r="B474" s="1199" t="s">
        <v>4076</v>
      </c>
      <c r="C474" s="1199" t="s">
        <v>4</v>
      </c>
    </row>
    <row r="475" spans="1:3">
      <c r="A475" s="1200">
        <v>46794</v>
      </c>
      <c r="B475" s="1199" t="s">
        <v>4075</v>
      </c>
      <c r="C475" s="1199" t="s">
        <v>4062</v>
      </c>
    </row>
    <row r="476" spans="1:3">
      <c r="A476" s="1200">
        <v>46806</v>
      </c>
      <c r="B476" s="1199" t="s">
        <v>4074</v>
      </c>
      <c r="C476" s="1199" t="s">
        <v>4057</v>
      </c>
    </row>
    <row r="477" spans="1:3">
      <c r="A477" s="1200">
        <v>46832</v>
      </c>
      <c r="B477" s="1199" t="s">
        <v>4073</v>
      </c>
      <c r="C477" s="1199" t="s">
        <v>4</v>
      </c>
    </row>
    <row r="478" spans="1:3">
      <c r="A478" s="1200">
        <v>46872</v>
      </c>
      <c r="B478" s="1199" t="s">
        <v>4071</v>
      </c>
      <c r="C478" s="1199" t="s">
        <v>4077</v>
      </c>
    </row>
    <row r="479" spans="1:3">
      <c r="A479" s="1200">
        <v>46876</v>
      </c>
      <c r="B479" s="1199" t="s">
        <v>4070</v>
      </c>
      <c r="C479" s="1199" t="s">
        <v>4057</v>
      </c>
    </row>
    <row r="480" spans="1:3">
      <c r="A480" s="1200">
        <v>46877</v>
      </c>
      <c r="B480" s="1199" t="s">
        <v>4068</v>
      </c>
      <c r="C480" s="1199" t="s">
        <v>4059</v>
      </c>
    </row>
    <row r="481" spans="1:3">
      <c r="A481" s="1200">
        <v>46878</v>
      </c>
      <c r="B481" s="1199" t="s">
        <v>4067</v>
      </c>
      <c r="C481" s="1199" t="s">
        <v>4062</v>
      </c>
    </row>
    <row r="482" spans="1:3">
      <c r="A482" s="1200">
        <v>46951</v>
      </c>
      <c r="B482" s="1199" t="s">
        <v>4066</v>
      </c>
      <c r="C482" s="1199" t="s">
        <v>4</v>
      </c>
    </row>
    <row r="483" spans="1:3">
      <c r="A483" s="1200">
        <v>46976</v>
      </c>
      <c r="B483" s="1199" t="s">
        <v>4065</v>
      </c>
      <c r="C483" s="1199" t="s">
        <v>4062</v>
      </c>
    </row>
    <row r="484" spans="1:3">
      <c r="A484" s="1200">
        <v>47014</v>
      </c>
      <c r="B484" s="1199" t="s">
        <v>4064</v>
      </c>
      <c r="C484" s="1199" t="s">
        <v>4</v>
      </c>
    </row>
    <row r="485" spans="1:3">
      <c r="A485" s="1200">
        <v>47018</v>
      </c>
      <c r="B485" s="1199" t="s">
        <v>4063</v>
      </c>
      <c r="C485" s="1199" t="s">
        <v>4062</v>
      </c>
    </row>
    <row r="486" spans="1:3">
      <c r="A486" s="1200">
        <v>47035</v>
      </c>
      <c r="B486" s="1199" t="s">
        <v>4061</v>
      </c>
      <c r="C486" s="1199" t="s">
        <v>4</v>
      </c>
    </row>
    <row r="487" spans="1:3">
      <c r="A487" s="1200">
        <v>47060</v>
      </c>
      <c r="B487" s="1199" t="s">
        <v>4060</v>
      </c>
      <c r="C487" s="1199" t="s">
        <v>4062</v>
      </c>
    </row>
    <row r="488" spans="1:3">
      <c r="A488" s="1200">
        <v>47080</v>
      </c>
      <c r="B488" s="1199" t="s">
        <v>4058</v>
      </c>
      <c r="C488" s="1199" t="s">
        <v>4059</v>
      </c>
    </row>
    <row r="489" spans="1:3">
      <c r="A489" s="1200">
        <v>47119</v>
      </c>
      <c r="B489" s="1199" t="s">
        <v>4078</v>
      </c>
      <c r="C489" s="1199" t="s">
        <v>4</v>
      </c>
    </row>
    <row r="490" spans="1:3">
      <c r="A490" s="1200">
        <v>47126</v>
      </c>
      <c r="B490" s="1199" t="s">
        <v>4076</v>
      </c>
      <c r="C490" s="1199" t="s">
        <v>4</v>
      </c>
    </row>
    <row r="491" spans="1:3">
      <c r="A491" s="1200">
        <v>47160</v>
      </c>
      <c r="B491" s="1199" t="s">
        <v>4075</v>
      </c>
      <c r="C491" s="1199" t="s">
        <v>373</v>
      </c>
    </row>
    <row r="492" spans="1:3">
      <c r="A492" s="1200">
        <v>47161</v>
      </c>
      <c r="B492" s="1199" t="s">
        <v>4072</v>
      </c>
      <c r="C492" s="1199" t="s">
        <v>4</v>
      </c>
    </row>
    <row r="493" spans="1:3">
      <c r="A493" s="1200">
        <v>47172</v>
      </c>
      <c r="B493" s="1199" t="s">
        <v>4074</v>
      </c>
      <c r="C493" s="1199" t="s">
        <v>4062</v>
      </c>
    </row>
    <row r="494" spans="1:3">
      <c r="A494" s="1200">
        <v>47197</v>
      </c>
      <c r="B494" s="1199" t="s">
        <v>4073</v>
      </c>
      <c r="C494" s="1199" t="s">
        <v>4069</v>
      </c>
    </row>
    <row r="495" spans="1:3">
      <c r="A495" s="1200">
        <v>47237</v>
      </c>
      <c r="B495" s="1199" t="s">
        <v>4071</v>
      </c>
      <c r="C495" s="1199" t="s">
        <v>373</v>
      </c>
    </row>
    <row r="496" spans="1:3">
      <c r="A496" s="1200">
        <v>47238</v>
      </c>
      <c r="B496" s="1199" t="s">
        <v>4072</v>
      </c>
      <c r="C496" s="1199" t="s">
        <v>4</v>
      </c>
    </row>
    <row r="497" spans="1:3">
      <c r="A497" s="1200">
        <v>47241</v>
      </c>
      <c r="B497" s="1199" t="s">
        <v>4070</v>
      </c>
      <c r="C497" s="1199" t="s">
        <v>4059</v>
      </c>
    </row>
    <row r="498" spans="1:3">
      <c r="A498" s="1200">
        <v>47242</v>
      </c>
      <c r="B498" s="1199" t="s">
        <v>4068</v>
      </c>
      <c r="C498" s="1199" t="s">
        <v>4062</v>
      </c>
    </row>
    <row r="499" spans="1:3">
      <c r="A499" s="1200">
        <v>47243</v>
      </c>
      <c r="B499" s="1199" t="s">
        <v>4067</v>
      </c>
      <c r="C499" s="1199" t="s">
        <v>4077</v>
      </c>
    </row>
    <row r="500" spans="1:3">
      <c r="A500" s="1200">
        <v>47315</v>
      </c>
      <c r="B500" s="1199" t="s">
        <v>4066</v>
      </c>
      <c r="C500" s="1199" t="s">
        <v>4</v>
      </c>
    </row>
    <row r="501" spans="1:3">
      <c r="A501" s="1200">
        <v>47341</v>
      </c>
      <c r="B501" s="1199" t="s">
        <v>4065</v>
      </c>
      <c r="C501" s="1199" t="s">
        <v>4077</v>
      </c>
    </row>
    <row r="502" spans="1:3">
      <c r="A502" s="1200">
        <v>47378</v>
      </c>
      <c r="B502" s="1199" t="s">
        <v>4064</v>
      </c>
      <c r="C502" s="1199" t="s">
        <v>4</v>
      </c>
    </row>
    <row r="503" spans="1:3">
      <c r="A503" s="1200">
        <v>47384</v>
      </c>
      <c r="B503" s="1199" t="s">
        <v>4063</v>
      </c>
      <c r="C503" s="1199" t="s">
        <v>373</v>
      </c>
    </row>
    <row r="504" spans="1:3">
      <c r="A504" s="1200">
        <v>47385</v>
      </c>
      <c r="B504" s="1199" t="s">
        <v>4072</v>
      </c>
      <c r="C504" s="1199" t="s">
        <v>4</v>
      </c>
    </row>
    <row r="505" spans="1:3">
      <c r="A505" s="1200">
        <v>47399</v>
      </c>
      <c r="B505" s="1199" t="s">
        <v>4061</v>
      </c>
      <c r="C505" s="1199" t="s">
        <v>4</v>
      </c>
    </row>
    <row r="506" spans="1:3">
      <c r="A506" s="1200">
        <v>47425</v>
      </c>
      <c r="B506" s="1199" t="s">
        <v>4060</v>
      </c>
      <c r="C506" s="1199" t="s">
        <v>4077</v>
      </c>
    </row>
    <row r="507" spans="1:3">
      <c r="A507" s="1200">
        <v>47445</v>
      </c>
      <c r="B507" s="1199" t="s">
        <v>4058</v>
      </c>
      <c r="C507" s="1199" t="s">
        <v>4062</v>
      </c>
    </row>
    <row r="508" spans="1:3">
      <c r="A508" s="1200">
        <v>47484</v>
      </c>
      <c r="B508" s="1199" t="s">
        <v>4078</v>
      </c>
      <c r="C508" s="1199" t="s">
        <v>4069</v>
      </c>
    </row>
    <row r="509" spans="1:3">
      <c r="A509" s="1200">
        <v>47497</v>
      </c>
      <c r="B509" s="1199" t="s">
        <v>4076</v>
      </c>
      <c r="C509" s="1199" t="s">
        <v>4</v>
      </c>
    </row>
    <row r="510" spans="1:3">
      <c r="A510" s="1200">
        <v>47525</v>
      </c>
      <c r="B510" s="1199" t="s">
        <v>4075</v>
      </c>
      <c r="C510" s="1199" t="s">
        <v>4</v>
      </c>
    </row>
    <row r="511" spans="1:3">
      <c r="A511" s="1200">
        <v>47537</v>
      </c>
      <c r="B511" s="1199" t="s">
        <v>4074</v>
      </c>
      <c r="C511" s="1199" t="s">
        <v>4077</v>
      </c>
    </row>
    <row r="512" spans="1:3">
      <c r="A512" s="1200">
        <v>47562</v>
      </c>
      <c r="B512" s="1199" t="s">
        <v>4073</v>
      </c>
      <c r="C512" s="1199" t="s">
        <v>4057</v>
      </c>
    </row>
    <row r="513" spans="1:3">
      <c r="A513" s="1200">
        <v>47602</v>
      </c>
      <c r="B513" s="1199" t="s">
        <v>4071</v>
      </c>
      <c r="C513" s="1199" t="s">
        <v>4</v>
      </c>
    </row>
    <row r="514" spans="1:3">
      <c r="A514" s="1200">
        <v>47606</v>
      </c>
      <c r="B514" s="1199" t="s">
        <v>4070</v>
      </c>
      <c r="C514" s="1199" t="s">
        <v>4062</v>
      </c>
    </row>
    <row r="515" spans="1:3">
      <c r="A515" s="1200">
        <v>47607</v>
      </c>
      <c r="B515" s="1199" t="s">
        <v>4068</v>
      </c>
      <c r="C515" s="1199" t="s">
        <v>4077</v>
      </c>
    </row>
    <row r="516" spans="1:3">
      <c r="A516" s="1200">
        <v>47608</v>
      </c>
      <c r="B516" s="1199" t="s">
        <v>4067</v>
      </c>
      <c r="C516" s="1199" t="s">
        <v>373</v>
      </c>
    </row>
    <row r="517" spans="1:3">
      <c r="A517" s="1200">
        <v>47609</v>
      </c>
      <c r="B517" s="1199" t="s">
        <v>4072</v>
      </c>
      <c r="C517" s="1199" t="s">
        <v>4</v>
      </c>
    </row>
    <row r="518" spans="1:3">
      <c r="A518" s="1200">
        <v>47679</v>
      </c>
      <c r="B518" s="1199" t="s">
        <v>4066</v>
      </c>
      <c r="C518" s="1199" t="s">
        <v>4</v>
      </c>
    </row>
    <row r="519" spans="1:3">
      <c r="A519" s="1200">
        <v>47706</v>
      </c>
      <c r="B519" s="1199" t="s">
        <v>4065</v>
      </c>
      <c r="C519" s="1199" t="s">
        <v>373</v>
      </c>
    </row>
    <row r="520" spans="1:3">
      <c r="A520" s="1200">
        <v>47707</v>
      </c>
      <c r="B520" s="1199" t="s">
        <v>4072</v>
      </c>
      <c r="C520" s="1199" t="s">
        <v>4</v>
      </c>
    </row>
    <row r="521" spans="1:3">
      <c r="A521" s="1200">
        <v>47742</v>
      </c>
      <c r="B521" s="1199" t="s">
        <v>4064</v>
      </c>
      <c r="C521" s="1199" t="s">
        <v>4</v>
      </c>
    </row>
    <row r="522" spans="1:3">
      <c r="A522" s="1200">
        <v>47749</v>
      </c>
      <c r="B522" s="1199" t="s">
        <v>4063</v>
      </c>
      <c r="C522" s="1199" t="s">
        <v>4</v>
      </c>
    </row>
    <row r="523" spans="1:3">
      <c r="A523" s="1200">
        <v>47770</v>
      </c>
      <c r="B523" s="1199" t="s">
        <v>4061</v>
      </c>
      <c r="C523" s="1199" t="s">
        <v>4</v>
      </c>
    </row>
    <row r="524" spans="1:3">
      <c r="A524" s="1200">
        <v>47790</v>
      </c>
      <c r="B524" s="1199" t="s">
        <v>4060</v>
      </c>
      <c r="C524" s="1199" t="s">
        <v>373</v>
      </c>
    </row>
    <row r="525" spans="1:3">
      <c r="A525" s="1200">
        <v>47791</v>
      </c>
      <c r="B525" s="1199" t="s">
        <v>4072</v>
      </c>
      <c r="C525" s="1199" t="s">
        <v>4</v>
      </c>
    </row>
    <row r="526" spans="1:3">
      <c r="A526" s="1200">
        <v>47810</v>
      </c>
      <c r="B526" s="1199" t="s">
        <v>4058</v>
      </c>
      <c r="C526" s="1199" t="s">
        <v>4077</v>
      </c>
    </row>
    <row r="527" spans="1:3">
      <c r="A527" s="1200">
        <v>47849</v>
      </c>
      <c r="B527" s="1199" t="s">
        <v>4078</v>
      </c>
      <c r="C527" s="1199" t="s">
        <v>4057</v>
      </c>
    </row>
    <row r="528" spans="1:3">
      <c r="A528" s="1200">
        <v>47861</v>
      </c>
      <c r="B528" s="1199" t="s">
        <v>4076</v>
      </c>
      <c r="C528" s="1199" t="s">
        <v>4</v>
      </c>
    </row>
    <row r="529" spans="1:3">
      <c r="A529" s="1200">
        <v>47890</v>
      </c>
      <c r="B529" s="1199" t="s">
        <v>4075</v>
      </c>
      <c r="C529" s="1199" t="s">
        <v>4069</v>
      </c>
    </row>
    <row r="530" spans="1:3">
      <c r="A530" s="1200">
        <v>47902</v>
      </c>
      <c r="B530" s="1199" t="s">
        <v>4074</v>
      </c>
      <c r="C530" s="1199" t="s">
        <v>373</v>
      </c>
    </row>
    <row r="531" spans="1:3">
      <c r="A531" s="1200">
        <v>47903</v>
      </c>
      <c r="B531" s="1199" t="s">
        <v>4072</v>
      </c>
      <c r="C531" s="1199" t="s">
        <v>4</v>
      </c>
    </row>
    <row r="532" spans="1:3">
      <c r="A532" s="1200">
        <v>47928</v>
      </c>
      <c r="B532" s="1199" t="s">
        <v>4073</v>
      </c>
      <c r="C532" s="1199" t="s">
        <v>4062</v>
      </c>
    </row>
    <row r="533" spans="1:3">
      <c r="A533" s="1200">
        <v>47967</v>
      </c>
      <c r="B533" s="1199" t="s">
        <v>4071</v>
      </c>
      <c r="C533" s="1199" t="s">
        <v>4069</v>
      </c>
    </row>
    <row r="534" spans="1:3">
      <c r="A534" s="1200">
        <v>47971</v>
      </c>
      <c r="B534" s="1199" t="s">
        <v>4070</v>
      </c>
      <c r="C534" s="1199" t="s">
        <v>4077</v>
      </c>
    </row>
    <row r="535" spans="1:3">
      <c r="A535" s="1200">
        <v>47972</v>
      </c>
      <c r="B535" s="1199" t="s">
        <v>4068</v>
      </c>
      <c r="C535" s="1199" t="s">
        <v>373</v>
      </c>
    </row>
    <row r="536" spans="1:3">
      <c r="A536" s="1200">
        <v>47973</v>
      </c>
      <c r="B536" s="1199" t="s">
        <v>4067</v>
      </c>
      <c r="C536" s="1199" t="s">
        <v>4</v>
      </c>
    </row>
    <row r="537" spans="1:3">
      <c r="A537" s="1200">
        <v>47974</v>
      </c>
      <c r="B537" s="1199" t="s">
        <v>4072</v>
      </c>
      <c r="C537" s="1199" t="s">
        <v>4069</v>
      </c>
    </row>
    <row r="538" spans="1:3">
      <c r="A538" s="1200">
        <v>48050</v>
      </c>
      <c r="B538" s="1199" t="s">
        <v>4066</v>
      </c>
      <c r="C538" s="1199" t="s">
        <v>4</v>
      </c>
    </row>
    <row r="539" spans="1:3">
      <c r="A539" s="1200">
        <v>48071</v>
      </c>
      <c r="B539" s="1199" t="s">
        <v>4065</v>
      </c>
      <c r="C539" s="1199" t="s">
        <v>4</v>
      </c>
    </row>
    <row r="540" spans="1:3">
      <c r="A540" s="1200">
        <v>48106</v>
      </c>
      <c r="B540" s="1199" t="s">
        <v>4064</v>
      </c>
      <c r="C540" s="1199" t="s">
        <v>4</v>
      </c>
    </row>
    <row r="541" spans="1:3">
      <c r="A541" s="1200">
        <v>48114</v>
      </c>
      <c r="B541" s="1199" t="s">
        <v>4063</v>
      </c>
      <c r="C541" s="1199" t="s">
        <v>4069</v>
      </c>
    </row>
    <row r="542" spans="1:3">
      <c r="A542" s="1200">
        <v>48134</v>
      </c>
      <c r="B542" s="1199" t="s">
        <v>4061</v>
      </c>
      <c r="C542" s="1199" t="s">
        <v>4</v>
      </c>
    </row>
    <row r="543" spans="1:3">
      <c r="A543" s="1200">
        <v>48155</v>
      </c>
      <c r="B543" s="1199" t="s">
        <v>4060</v>
      </c>
      <c r="C543" s="1199" t="s">
        <v>4</v>
      </c>
    </row>
    <row r="544" spans="1:3">
      <c r="A544" s="1200">
        <v>48175</v>
      </c>
      <c r="B544" s="1199" t="s">
        <v>4058</v>
      </c>
      <c r="C544" s="1199" t="s">
        <v>373</v>
      </c>
    </row>
    <row r="545" spans="1:3">
      <c r="A545" s="1200">
        <v>48176</v>
      </c>
      <c r="B545" s="1199" t="s">
        <v>4072</v>
      </c>
      <c r="C545" s="1199" t="s">
        <v>4</v>
      </c>
    </row>
    <row r="546" spans="1:3">
      <c r="A546" s="1200">
        <v>48214</v>
      </c>
      <c r="B546" s="1199" t="s">
        <v>4078</v>
      </c>
      <c r="C546" s="1199" t="s">
        <v>4059</v>
      </c>
    </row>
    <row r="547" spans="1:3">
      <c r="A547" s="1200">
        <v>48225</v>
      </c>
      <c r="B547" s="1199" t="s">
        <v>4076</v>
      </c>
      <c r="C547" s="1199" t="s">
        <v>4</v>
      </c>
    </row>
    <row r="548" spans="1:3">
      <c r="A548" s="1200">
        <v>48255</v>
      </c>
      <c r="B548" s="1199" t="s">
        <v>4075</v>
      </c>
      <c r="C548" s="1199" t="s">
        <v>4057</v>
      </c>
    </row>
    <row r="549" spans="1:3">
      <c r="A549" s="1200">
        <v>48267</v>
      </c>
      <c r="B549" s="1199" t="s">
        <v>4074</v>
      </c>
      <c r="C549" s="1199" t="s">
        <v>4</v>
      </c>
    </row>
    <row r="550" spans="1:3">
      <c r="A550" s="1200">
        <v>48293</v>
      </c>
      <c r="B550" s="1199" t="s">
        <v>4073</v>
      </c>
      <c r="C550" s="1199" t="s">
        <v>4077</v>
      </c>
    </row>
    <row r="551" spans="1:3">
      <c r="A551" s="1200">
        <v>48333</v>
      </c>
      <c r="B551" s="1199" t="s">
        <v>4071</v>
      </c>
      <c r="C551" s="1199" t="s">
        <v>4059</v>
      </c>
    </row>
    <row r="552" spans="1:3">
      <c r="A552" s="1200">
        <v>48337</v>
      </c>
      <c r="B552" s="1199" t="s">
        <v>4070</v>
      </c>
      <c r="C552" s="1199" t="s">
        <v>4</v>
      </c>
    </row>
    <row r="553" spans="1:3">
      <c r="A553" s="1200">
        <v>48338</v>
      </c>
      <c r="B553" s="1199" t="s">
        <v>4068</v>
      </c>
      <c r="C553" s="1199" t="s">
        <v>4069</v>
      </c>
    </row>
    <row r="554" spans="1:3">
      <c r="A554" s="1200">
        <v>48339</v>
      </c>
      <c r="B554" s="1199" t="s">
        <v>4067</v>
      </c>
      <c r="C554" s="1199" t="s">
        <v>4057</v>
      </c>
    </row>
    <row r="555" spans="1:3">
      <c r="A555" s="1200">
        <v>48414</v>
      </c>
      <c r="B555" s="1199" t="s">
        <v>4066</v>
      </c>
      <c r="C555" s="1199" t="s">
        <v>4</v>
      </c>
    </row>
    <row r="556" spans="1:3">
      <c r="A556" s="1200">
        <v>48437</v>
      </c>
      <c r="B556" s="1199" t="s">
        <v>4065</v>
      </c>
      <c r="C556" s="1199" t="s">
        <v>4057</v>
      </c>
    </row>
    <row r="557" spans="1:3">
      <c r="A557" s="1200">
        <v>48477</v>
      </c>
      <c r="B557" s="1199" t="s">
        <v>4064</v>
      </c>
      <c r="C557" s="1199" t="s">
        <v>4</v>
      </c>
    </row>
    <row r="558" spans="1:3">
      <c r="A558" s="1200">
        <v>48478</v>
      </c>
      <c r="B558" s="1199" t="s">
        <v>4079</v>
      </c>
      <c r="C558" s="1199" t="s">
        <v>4069</v>
      </c>
    </row>
    <row r="559" spans="1:3">
      <c r="A559" s="1200">
        <v>48479</v>
      </c>
      <c r="B559" s="1199" t="s">
        <v>4063</v>
      </c>
      <c r="C559" s="1199" t="s">
        <v>4057</v>
      </c>
    </row>
    <row r="560" spans="1:3">
      <c r="A560" s="1200">
        <v>48498</v>
      </c>
      <c r="B560" s="1199" t="s">
        <v>4061</v>
      </c>
      <c r="C560" s="1199" t="s">
        <v>4</v>
      </c>
    </row>
    <row r="561" spans="1:3">
      <c r="A561" s="1200">
        <v>48521</v>
      </c>
      <c r="B561" s="1199" t="s">
        <v>4060</v>
      </c>
      <c r="C561" s="1199" t="s">
        <v>4057</v>
      </c>
    </row>
    <row r="562" spans="1:3">
      <c r="A562" s="1200">
        <v>48541</v>
      </c>
      <c r="B562" s="1199" t="s">
        <v>4058</v>
      </c>
      <c r="C562" s="1199" t="s">
        <v>4069</v>
      </c>
    </row>
    <row r="563" spans="1:3">
      <c r="A563" s="1200">
        <v>48580</v>
      </c>
      <c r="B563" s="1199" t="s">
        <v>4078</v>
      </c>
      <c r="C563" s="1199" t="s">
        <v>4077</v>
      </c>
    </row>
    <row r="564" spans="1:3">
      <c r="A564" s="1200">
        <v>48589</v>
      </c>
      <c r="B564" s="1199" t="s">
        <v>4076</v>
      </c>
      <c r="C564" s="1199" t="s">
        <v>4</v>
      </c>
    </row>
    <row r="565" spans="1:3">
      <c r="A565" s="1200">
        <v>48621</v>
      </c>
      <c r="B565" s="1199" t="s">
        <v>4075</v>
      </c>
      <c r="C565" s="1199" t="s">
        <v>4062</v>
      </c>
    </row>
    <row r="566" spans="1:3">
      <c r="A566" s="1200">
        <v>48633</v>
      </c>
      <c r="B566" s="1199" t="s">
        <v>4074</v>
      </c>
      <c r="C566" s="1199" t="s">
        <v>4057</v>
      </c>
    </row>
    <row r="567" spans="1:3">
      <c r="A567" s="1200">
        <v>48658</v>
      </c>
      <c r="B567" s="1199" t="s">
        <v>4073</v>
      </c>
      <c r="C567" s="1199" t="s">
        <v>373</v>
      </c>
    </row>
    <row r="568" spans="1:3">
      <c r="A568" s="1200">
        <v>48659</v>
      </c>
      <c r="B568" s="1199" t="s">
        <v>4072</v>
      </c>
      <c r="C568" s="1199" t="s">
        <v>4</v>
      </c>
    </row>
    <row r="569" spans="1:3">
      <c r="A569" s="1200">
        <v>48698</v>
      </c>
      <c r="B569" s="1199" t="s">
        <v>4071</v>
      </c>
      <c r="C569" s="1199" t="s">
        <v>4062</v>
      </c>
    </row>
    <row r="570" spans="1:3">
      <c r="A570" s="1200">
        <v>48702</v>
      </c>
      <c r="B570" s="1199" t="s">
        <v>4070</v>
      </c>
      <c r="C570" s="1199" t="s">
        <v>4069</v>
      </c>
    </row>
    <row r="571" spans="1:3">
      <c r="A571" s="1200">
        <v>48703</v>
      </c>
      <c r="B571" s="1199" t="s">
        <v>4068</v>
      </c>
      <c r="C571" s="1199" t="s">
        <v>4057</v>
      </c>
    </row>
    <row r="572" spans="1:3">
      <c r="A572" s="1200">
        <v>48704</v>
      </c>
      <c r="B572" s="1199" t="s">
        <v>4067</v>
      </c>
      <c r="C572" s="1199" t="s">
        <v>4059</v>
      </c>
    </row>
    <row r="573" spans="1:3">
      <c r="A573" s="1200">
        <v>48778</v>
      </c>
      <c r="B573" s="1199" t="s">
        <v>4066</v>
      </c>
      <c r="C573" s="1199" t="s">
        <v>4</v>
      </c>
    </row>
    <row r="574" spans="1:3">
      <c r="A574" s="1200">
        <v>48802</v>
      </c>
      <c r="B574" s="1199" t="s">
        <v>4065</v>
      </c>
      <c r="C574" s="1199" t="s">
        <v>4059</v>
      </c>
    </row>
    <row r="575" spans="1:3">
      <c r="A575" s="1200">
        <v>48841</v>
      </c>
      <c r="B575" s="1199" t="s">
        <v>4064</v>
      </c>
      <c r="C575" s="1199" t="s">
        <v>4</v>
      </c>
    </row>
    <row r="576" spans="1:3">
      <c r="A576" s="1200">
        <v>48845</v>
      </c>
      <c r="B576" s="1199" t="s">
        <v>4063</v>
      </c>
      <c r="C576" s="1199" t="s">
        <v>4062</v>
      </c>
    </row>
    <row r="577" spans="1:3">
      <c r="A577" s="1200">
        <v>48862</v>
      </c>
      <c r="B577" s="1199" t="s">
        <v>4061</v>
      </c>
      <c r="C577" s="1199" t="s">
        <v>4</v>
      </c>
    </row>
    <row r="578" spans="1:3">
      <c r="A578" s="1200">
        <v>48886</v>
      </c>
      <c r="B578" s="1199" t="s">
        <v>4060</v>
      </c>
      <c r="C578" s="1199" t="s">
        <v>4059</v>
      </c>
    </row>
    <row r="579" spans="1:3">
      <c r="A579" s="1200">
        <v>48906</v>
      </c>
      <c r="B579" s="1199" t="s">
        <v>4058</v>
      </c>
      <c r="C579" s="1199" t="s">
        <v>4057</v>
      </c>
    </row>
    <row r="580" spans="1:3">
      <c r="A580" s="1200">
        <v>48945</v>
      </c>
      <c r="B580" s="1199" t="s">
        <v>4078</v>
      </c>
      <c r="C580" s="1199" t="s">
        <v>373</v>
      </c>
    </row>
    <row r="581" spans="1:3">
      <c r="A581" s="1200">
        <v>48946</v>
      </c>
      <c r="B581" s="1199" t="s">
        <v>4072</v>
      </c>
      <c r="C581" s="1199" t="s">
        <v>4</v>
      </c>
    </row>
    <row r="582" spans="1:3">
      <c r="A582" s="1200">
        <v>48953</v>
      </c>
      <c r="B582" s="1199" t="s">
        <v>4076</v>
      </c>
      <c r="C582" s="1199" t="s">
        <v>4</v>
      </c>
    </row>
    <row r="583" spans="1:3">
      <c r="A583" s="1200">
        <v>48986</v>
      </c>
      <c r="B583" s="1199" t="s">
        <v>4075</v>
      </c>
      <c r="C583" s="1199" t="s">
        <v>4077</v>
      </c>
    </row>
    <row r="584" spans="1:3">
      <c r="A584" s="1200">
        <v>48998</v>
      </c>
      <c r="B584" s="1199" t="s">
        <v>4074</v>
      </c>
      <c r="C584" s="1199" t="s">
        <v>4059</v>
      </c>
    </row>
    <row r="585" spans="1:3">
      <c r="A585" s="1200">
        <v>49023</v>
      </c>
      <c r="B585" s="1199" t="s">
        <v>4073</v>
      </c>
      <c r="C585" s="1199" t="s">
        <v>4</v>
      </c>
    </row>
    <row r="586" spans="1:3">
      <c r="A586" s="1200">
        <v>49063</v>
      </c>
      <c r="B586" s="1199" t="s">
        <v>4071</v>
      </c>
      <c r="C586" s="1199" t="s">
        <v>4077</v>
      </c>
    </row>
    <row r="587" spans="1:3">
      <c r="A587" s="1200">
        <v>49067</v>
      </c>
      <c r="B587" s="1199" t="s">
        <v>4070</v>
      </c>
      <c r="C587" s="1199" t="s">
        <v>4057</v>
      </c>
    </row>
    <row r="588" spans="1:3">
      <c r="A588" s="1200">
        <v>49068</v>
      </c>
      <c r="B588" s="1199" t="s">
        <v>4068</v>
      </c>
      <c r="C588" s="1199" t="s">
        <v>4059</v>
      </c>
    </row>
    <row r="589" spans="1:3">
      <c r="A589" s="1200">
        <v>49069</v>
      </c>
      <c r="B589" s="1199" t="s">
        <v>4067</v>
      </c>
      <c r="C589" s="1199" t="s">
        <v>4062</v>
      </c>
    </row>
    <row r="590" spans="1:3">
      <c r="A590" s="1200">
        <v>49142</v>
      </c>
      <c r="B590" s="1199" t="s">
        <v>4066</v>
      </c>
      <c r="C590" s="1199" t="s">
        <v>4</v>
      </c>
    </row>
    <row r="591" spans="1:3">
      <c r="A591" s="1200">
        <v>49167</v>
      </c>
      <c r="B591" s="1199" t="s">
        <v>4065</v>
      </c>
      <c r="C591" s="1199" t="s">
        <v>4062</v>
      </c>
    </row>
    <row r="592" spans="1:3">
      <c r="A592" s="1200">
        <v>49205</v>
      </c>
      <c r="B592" s="1199" t="s">
        <v>4064</v>
      </c>
      <c r="C592" s="1199" t="s">
        <v>4</v>
      </c>
    </row>
    <row r="593" spans="1:3">
      <c r="A593" s="1200">
        <v>49210</v>
      </c>
      <c r="B593" s="1199" t="s">
        <v>4063</v>
      </c>
      <c r="C593" s="1199" t="s">
        <v>4077</v>
      </c>
    </row>
    <row r="594" spans="1:3">
      <c r="A594" s="1200">
        <v>49226</v>
      </c>
      <c r="B594" s="1199" t="s">
        <v>4061</v>
      </c>
      <c r="C594" s="1199" t="s">
        <v>4</v>
      </c>
    </row>
    <row r="595" spans="1:3">
      <c r="A595" s="1200">
        <v>49251</v>
      </c>
      <c r="B595" s="1199" t="s">
        <v>4060</v>
      </c>
      <c r="C595" s="1199" t="s">
        <v>4062</v>
      </c>
    </row>
    <row r="596" spans="1:3">
      <c r="A596" s="1200">
        <v>49271</v>
      </c>
      <c r="B596" s="1199" t="s">
        <v>4058</v>
      </c>
      <c r="C596" s="1199" t="s">
        <v>4059</v>
      </c>
    </row>
    <row r="597" spans="1:3">
      <c r="A597" s="1200">
        <v>49310</v>
      </c>
      <c r="B597" s="1199" t="s">
        <v>4078</v>
      </c>
      <c r="C597" s="1199" t="s">
        <v>4</v>
      </c>
    </row>
    <row r="598" spans="1:3">
      <c r="A598" s="1200">
        <v>49317</v>
      </c>
      <c r="B598" s="1199" t="s">
        <v>4076</v>
      </c>
      <c r="C598" s="1199" t="s">
        <v>4</v>
      </c>
    </row>
    <row r="599" spans="1:3">
      <c r="A599" s="1200">
        <v>49351</v>
      </c>
      <c r="B599" s="1199" t="s">
        <v>4075</v>
      </c>
      <c r="C599" s="1199" t="s">
        <v>373</v>
      </c>
    </row>
    <row r="600" spans="1:3">
      <c r="A600" s="1200">
        <v>49352</v>
      </c>
      <c r="B600" s="1199" t="s">
        <v>4072</v>
      </c>
      <c r="C600" s="1199" t="s">
        <v>4</v>
      </c>
    </row>
    <row r="601" spans="1:3">
      <c r="A601" s="1200">
        <v>49363</v>
      </c>
      <c r="B601" s="1199" t="s">
        <v>4074</v>
      </c>
      <c r="C601" s="1199" t="s">
        <v>4062</v>
      </c>
    </row>
    <row r="602" spans="1:3">
      <c r="A602" s="1200">
        <v>49389</v>
      </c>
      <c r="B602" s="1199" t="s">
        <v>4073</v>
      </c>
      <c r="C602" s="1199" t="s">
        <v>4057</v>
      </c>
    </row>
    <row r="603" spans="1:3">
      <c r="A603" s="1200">
        <v>49428</v>
      </c>
      <c r="B603" s="1199" t="s">
        <v>4071</v>
      </c>
      <c r="C603" s="1199" t="s">
        <v>373</v>
      </c>
    </row>
    <row r="604" spans="1:3">
      <c r="A604" s="1200">
        <v>49429</v>
      </c>
      <c r="B604" s="1199" t="s">
        <v>4072</v>
      </c>
      <c r="C604" s="1199" t="s">
        <v>4</v>
      </c>
    </row>
    <row r="605" spans="1:3">
      <c r="A605" s="1200">
        <v>49432</v>
      </c>
      <c r="B605" s="1199" t="s">
        <v>4070</v>
      </c>
      <c r="C605" s="1199" t="s">
        <v>4059</v>
      </c>
    </row>
    <row r="606" spans="1:3">
      <c r="A606" s="1200">
        <v>49433</v>
      </c>
      <c r="B606" s="1199" t="s">
        <v>4068</v>
      </c>
      <c r="C606" s="1199" t="s">
        <v>4062</v>
      </c>
    </row>
    <row r="607" spans="1:3">
      <c r="A607" s="1200">
        <v>49434</v>
      </c>
      <c r="B607" s="1199" t="s">
        <v>4067</v>
      </c>
      <c r="C607" s="1199" t="s">
        <v>4077</v>
      </c>
    </row>
    <row r="608" spans="1:3">
      <c r="A608" s="1200">
        <v>49506</v>
      </c>
      <c r="B608" s="1199" t="s">
        <v>4066</v>
      </c>
      <c r="C608" s="1199" t="s">
        <v>4</v>
      </c>
    </row>
    <row r="609" spans="1:3">
      <c r="A609" s="1200">
        <v>49532</v>
      </c>
      <c r="B609" s="1199" t="s">
        <v>4065</v>
      </c>
      <c r="C609" s="1199" t="s">
        <v>4077</v>
      </c>
    </row>
    <row r="610" spans="1:3">
      <c r="A610" s="1200">
        <v>49569</v>
      </c>
      <c r="B610" s="1199" t="s">
        <v>4064</v>
      </c>
      <c r="C610" s="1199" t="s">
        <v>4</v>
      </c>
    </row>
    <row r="611" spans="1:3">
      <c r="A611" s="1200">
        <v>49575</v>
      </c>
      <c r="B611" s="1199" t="s">
        <v>4063</v>
      </c>
      <c r="C611" s="1199" t="s">
        <v>373</v>
      </c>
    </row>
    <row r="612" spans="1:3">
      <c r="A612" s="1200">
        <v>49576</v>
      </c>
      <c r="B612" s="1199" t="s">
        <v>4072</v>
      </c>
      <c r="C612" s="1199" t="s">
        <v>4</v>
      </c>
    </row>
    <row r="613" spans="1:3">
      <c r="A613" s="1200">
        <v>49590</v>
      </c>
      <c r="B613" s="1199" t="s">
        <v>4061</v>
      </c>
      <c r="C613" s="1199" t="s">
        <v>4</v>
      </c>
    </row>
    <row r="614" spans="1:3">
      <c r="A614" s="1200">
        <v>49616</v>
      </c>
      <c r="B614" s="1199" t="s">
        <v>4060</v>
      </c>
      <c r="C614" s="1199" t="s">
        <v>4077</v>
      </c>
    </row>
    <row r="615" spans="1:3">
      <c r="A615" s="1200">
        <v>49636</v>
      </c>
      <c r="B615" s="1199" t="s">
        <v>4058</v>
      </c>
      <c r="C615" s="1199" t="s">
        <v>4062</v>
      </c>
    </row>
    <row r="616" spans="1:3">
      <c r="A616" s="1200">
        <v>49675</v>
      </c>
      <c r="B616" s="1199" t="s">
        <v>4078</v>
      </c>
      <c r="C616" s="1199" t="s">
        <v>4069</v>
      </c>
    </row>
    <row r="617" spans="1:3">
      <c r="A617" s="1200">
        <v>49688</v>
      </c>
      <c r="B617" s="1199" t="s">
        <v>4076</v>
      </c>
      <c r="C617" s="1199" t="s">
        <v>4</v>
      </c>
    </row>
    <row r="618" spans="1:3">
      <c r="A618" s="1200">
        <v>49716</v>
      </c>
      <c r="B618" s="1199" t="s">
        <v>4075</v>
      </c>
      <c r="C618" s="1199" t="s">
        <v>4</v>
      </c>
    </row>
    <row r="619" spans="1:3">
      <c r="A619" s="1200">
        <v>49728</v>
      </c>
      <c r="B619" s="1199" t="s">
        <v>4074</v>
      </c>
      <c r="C619" s="1199" t="s">
        <v>4077</v>
      </c>
    </row>
    <row r="620" spans="1:3">
      <c r="A620" s="1200">
        <v>49754</v>
      </c>
      <c r="B620" s="1199" t="s">
        <v>4073</v>
      </c>
      <c r="C620" s="1199" t="s">
        <v>4059</v>
      </c>
    </row>
    <row r="621" spans="1:3">
      <c r="A621" s="1200">
        <v>49794</v>
      </c>
      <c r="B621" s="1199" t="s">
        <v>4071</v>
      </c>
      <c r="C621" s="1199" t="s">
        <v>4069</v>
      </c>
    </row>
    <row r="622" spans="1:3">
      <c r="A622" s="1200">
        <v>49798</v>
      </c>
      <c r="B622" s="1199" t="s">
        <v>4070</v>
      </c>
      <c r="C622" s="1199" t="s">
        <v>4077</v>
      </c>
    </row>
    <row r="623" spans="1:3">
      <c r="A623" s="1200">
        <v>49799</v>
      </c>
      <c r="B623" s="1199" t="s">
        <v>4068</v>
      </c>
      <c r="C623" s="1199" t="s">
        <v>373</v>
      </c>
    </row>
    <row r="624" spans="1:3">
      <c r="A624" s="1200">
        <v>49800</v>
      </c>
      <c r="B624" s="1199" t="s">
        <v>4067</v>
      </c>
      <c r="C624" s="1199" t="s">
        <v>4</v>
      </c>
    </row>
    <row r="625" spans="1:3">
      <c r="A625" s="1200">
        <v>49801</v>
      </c>
      <c r="B625" s="1199" t="s">
        <v>4072</v>
      </c>
      <c r="C625" s="1199" t="s">
        <v>4069</v>
      </c>
    </row>
    <row r="626" spans="1:3">
      <c r="A626" s="1200">
        <v>49877</v>
      </c>
      <c r="B626" s="1199" t="s">
        <v>4066</v>
      </c>
      <c r="C626" s="1199" t="s">
        <v>4</v>
      </c>
    </row>
    <row r="627" spans="1:3">
      <c r="A627" s="1200">
        <v>49898</v>
      </c>
      <c r="B627" s="1199" t="s">
        <v>4065</v>
      </c>
      <c r="C627" s="1199" t="s">
        <v>4</v>
      </c>
    </row>
    <row r="628" spans="1:3">
      <c r="A628" s="1200">
        <v>49933</v>
      </c>
      <c r="B628" s="1199" t="s">
        <v>4064</v>
      </c>
      <c r="C628" s="1199" t="s">
        <v>4</v>
      </c>
    </row>
    <row r="629" spans="1:3">
      <c r="A629" s="1200">
        <v>49940</v>
      </c>
      <c r="B629" s="1199" t="s">
        <v>4063</v>
      </c>
      <c r="C629" s="1199" t="s">
        <v>4</v>
      </c>
    </row>
    <row r="630" spans="1:3">
      <c r="A630" s="1200">
        <v>49961</v>
      </c>
      <c r="B630" s="1199" t="s">
        <v>4061</v>
      </c>
      <c r="C630" s="1199" t="s">
        <v>4</v>
      </c>
    </row>
    <row r="631" spans="1:3">
      <c r="A631" s="1200">
        <v>49982</v>
      </c>
      <c r="B631" s="1199" t="s">
        <v>4060</v>
      </c>
      <c r="C631" s="1199" t="s">
        <v>4</v>
      </c>
    </row>
    <row r="632" spans="1:3">
      <c r="A632" s="1200">
        <v>50002</v>
      </c>
      <c r="B632" s="1199" t="s">
        <v>4058</v>
      </c>
      <c r="C632" s="1199" t="s">
        <v>373</v>
      </c>
    </row>
    <row r="633" spans="1:3">
      <c r="A633" s="1200">
        <v>50003</v>
      </c>
      <c r="B633" s="1199" t="s">
        <v>4072</v>
      </c>
      <c r="C633" s="1199" t="s">
        <v>4</v>
      </c>
    </row>
    <row r="634" spans="1:3">
      <c r="A634" s="1200">
        <v>50041</v>
      </c>
      <c r="B634" s="1199" t="s">
        <v>4078</v>
      </c>
      <c r="C634" s="1199" t="s">
        <v>4059</v>
      </c>
    </row>
    <row r="635" spans="1:3">
      <c r="A635" s="1200">
        <v>50052</v>
      </c>
      <c r="B635" s="1199" t="s">
        <v>4076</v>
      </c>
      <c r="C635" s="1199" t="s">
        <v>4</v>
      </c>
    </row>
    <row r="636" spans="1:3">
      <c r="A636" s="1200">
        <v>50082</v>
      </c>
      <c r="B636" s="1199" t="s">
        <v>4075</v>
      </c>
      <c r="C636" s="1199" t="s">
        <v>4057</v>
      </c>
    </row>
    <row r="637" spans="1:3">
      <c r="A637" s="1200">
        <v>50094</v>
      </c>
      <c r="B637" s="1199" t="s">
        <v>4074</v>
      </c>
      <c r="C637" s="1199" t="s">
        <v>4</v>
      </c>
    </row>
    <row r="638" spans="1:3">
      <c r="A638" s="1200">
        <v>50119</v>
      </c>
      <c r="B638" s="1199" t="s">
        <v>4073</v>
      </c>
      <c r="C638" s="1199" t="s">
        <v>4062</v>
      </c>
    </row>
    <row r="639" spans="1:3">
      <c r="A639" s="1200">
        <v>50159</v>
      </c>
      <c r="B639" s="1199" t="s">
        <v>4071</v>
      </c>
      <c r="C639" s="1199" t="s">
        <v>4057</v>
      </c>
    </row>
    <row r="640" spans="1:3">
      <c r="A640" s="1200">
        <v>50163</v>
      </c>
      <c r="B640" s="1199" t="s">
        <v>4070</v>
      </c>
      <c r="C640" s="1199" t="s">
        <v>373</v>
      </c>
    </row>
    <row r="641" spans="1:3">
      <c r="A641" s="1200">
        <v>50164</v>
      </c>
      <c r="B641" s="1199" t="s">
        <v>4068</v>
      </c>
      <c r="C641" s="1199" t="s">
        <v>4</v>
      </c>
    </row>
    <row r="642" spans="1:3">
      <c r="A642" s="1200">
        <v>50165</v>
      </c>
      <c r="B642" s="1199" t="s">
        <v>4067</v>
      </c>
      <c r="C642" s="1199" t="s">
        <v>4069</v>
      </c>
    </row>
    <row r="643" spans="1:3">
      <c r="A643" s="1200">
        <v>50166</v>
      </c>
      <c r="B643" s="1199" t="s">
        <v>4072</v>
      </c>
      <c r="C643" s="1199" t="s">
        <v>4057</v>
      </c>
    </row>
    <row r="644" spans="1:3">
      <c r="A644" s="1200">
        <v>50241</v>
      </c>
      <c r="B644" s="1199" t="s">
        <v>4066</v>
      </c>
      <c r="C644" s="1199" t="s">
        <v>4</v>
      </c>
    </row>
    <row r="645" spans="1:3">
      <c r="A645" s="1200">
        <v>50263</v>
      </c>
      <c r="B645" s="1199" t="s">
        <v>4065</v>
      </c>
      <c r="C645" s="1199" t="s">
        <v>4069</v>
      </c>
    </row>
    <row r="646" spans="1:3">
      <c r="A646" s="1200">
        <v>50304</v>
      </c>
      <c r="B646" s="1199" t="s">
        <v>4064</v>
      </c>
      <c r="C646" s="1199" t="s">
        <v>4</v>
      </c>
    </row>
    <row r="647" spans="1:3">
      <c r="A647" s="1200">
        <v>50305</v>
      </c>
      <c r="B647" s="1199" t="s">
        <v>4079</v>
      </c>
      <c r="C647" s="1199" t="s">
        <v>4069</v>
      </c>
    </row>
    <row r="648" spans="1:3">
      <c r="A648" s="1200">
        <v>50306</v>
      </c>
      <c r="B648" s="1199" t="s">
        <v>4063</v>
      </c>
      <c r="C648" s="1199" t="s">
        <v>4057</v>
      </c>
    </row>
    <row r="649" spans="1:3">
      <c r="A649" s="1200">
        <v>50325</v>
      </c>
      <c r="B649" s="1199" t="s">
        <v>4061</v>
      </c>
      <c r="C649" s="1199" t="s">
        <v>4</v>
      </c>
    </row>
    <row r="650" spans="1:3">
      <c r="A650" s="1200">
        <v>50347</v>
      </c>
      <c r="B650" s="1199" t="s">
        <v>4060</v>
      </c>
      <c r="C650" s="1199" t="s">
        <v>4069</v>
      </c>
    </row>
    <row r="651" spans="1:3">
      <c r="A651" s="1200">
        <v>50367</v>
      </c>
      <c r="B651" s="1199" t="s">
        <v>4058</v>
      </c>
      <c r="C651" s="1199" t="s">
        <v>4</v>
      </c>
    </row>
    <row r="652" spans="1:3">
      <c r="A652" s="1200">
        <v>50406</v>
      </c>
      <c r="B652" s="1199" t="s">
        <v>4078</v>
      </c>
      <c r="C652" s="1199" t="s">
        <v>4062</v>
      </c>
    </row>
    <row r="653" spans="1:3">
      <c r="A653" s="1200">
        <v>50416</v>
      </c>
      <c r="B653" s="1199" t="s">
        <v>4076</v>
      </c>
      <c r="C653" s="1199" t="s">
        <v>4</v>
      </c>
    </row>
    <row r="654" spans="1:3">
      <c r="A654" s="1200">
        <v>50447</v>
      </c>
      <c r="B654" s="1199" t="s">
        <v>4075</v>
      </c>
      <c r="C654" s="1199" t="s">
        <v>4059</v>
      </c>
    </row>
    <row r="655" spans="1:3">
      <c r="A655" s="1200">
        <v>50459</v>
      </c>
      <c r="B655" s="1199" t="s">
        <v>4074</v>
      </c>
      <c r="C655" s="1199" t="s">
        <v>4069</v>
      </c>
    </row>
    <row r="656" spans="1:3">
      <c r="A656" s="1200">
        <v>50484</v>
      </c>
      <c r="B656" s="1199" t="s">
        <v>4073</v>
      </c>
      <c r="C656" s="1199" t="s">
        <v>4077</v>
      </c>
    </row>
    <row r="657" spans="1:3">
      <c r="A657" s="1200">
        <v>50524</v>
      </c>
      <c r="B657" s="1199" t="s">
        <v>4071</v>
      </c>
      <c r="C657" s="1199" t="s">
        <v>4059</v>
      </c>
    </row>
    <row r="658" spans="1:3">
      <c r="A658" s="1200">
        <v>50528</v>
      </c>
      <c r="B658" s="1199" t="s">
        <v>4070</v>
      </c>
      <c r="C658" s="1199" t="s">
        <v>4</v>
      </c>
    </row>
    <row r="659" spans="1:3">
      <c r="A659" s="1200">
        <v>50529</v>
      </c>
      <c r="B659" s="1199" t="s">
        <v>4068</v>
      </c>
      <c r="C659" s="1199" t="s">
        <v>4069</v>
      </c>
    </row>
    <row r="660" spans="1:3">
      <c r="A660" s="1200">
        <v>50530</v>
      </c>
      <c r="B660" s="1199" t="s">
        <v>4067</v>
      </c>
      <c r="C660" s="1199" t="s">
        <v>4057</v>
      </c>
    </row>
    <row r="661" spans="1:3">
      <c r="A661" s="1200">
        <v>50605</v>
      </c>
      <c r="B661" s="1199" t="s">
        <v>4066</v>
      </c>
      <c r="C661" s="1199" t="s">
        <v>4</v>
      </c>
    </row>
    <row r="662" spans="1:3">
      <c r="A662" s="1200">
        <v>50628</v>
      </c>
      <c r="B662" s="1199" t="s">
        <v>4065</v>
      </c>
      <c r="C662" s="1199" t="s">
        <v>4057</v>
      </c>
    </row>
    <row r="663" spans="1:3">
      <c r="A663" s="1200">
        <v>50668</v>
      </c>
      <c r="B663" s="1199" t="s">
        <v>4064</v>
      </c>
      <c r="C663" s="1199" t="s">
        <v>4</v>
      </c>
    </row>
    <row r="664" spans="1:3">
      <c r="A664" s="1200">
        <v>50671</v>
      </c>
      <c r="B664" s="1199" t="s">
        <v>4063</v>
      </c>
      <c r="C664" s="1199" t="s">
        <v>4059</v>
      </c>
    </row>
    <row r="665" spans="1:3">
      <c r="A665" s="1200">
        <v>50689</v>
      </c>
      <c r="B665" s="1199" t="s">
        <v>4061</v>
      </c>
      <c r="C665" s="1199" t="s">
        <v>4</v>
      </c>
    </row>
    <row r="666" spans="1:3">
      <c r="A666" s="1200">
        <v>50712</v>
      </c>
      <c r="B666" s="1199" t="s">
        <v>4060</v>
      </c>
      <c r="C666" s="1199" t="s">
        <v>4057</v>
      </c>
    </row>
    <row r="667" spans="1:3">
      <c r="A667" s="1200">
        <v>50732</v>
      </c>
      <c r="B667" s="1199" t="s">
        <v>4058</v>
      </c>
      <c r="C667" s="1199" t="s">
        <v>4069</v>
      </c>
    </row>
    <row r="668" spans="1:3">
      <c r="A668" s="1200">
        <v>50771</v>
      </c>
      <c r="B668" s="1199" t="s">
        <v>4078</v>
      </c>
      <c r="C668" s="1199" t="s">
        <v>4077</v>
      </c>
    </row>
    <row r="669" spans="1:3">
      <c r="A669" s="1200">
        <v>50780</v>
      </c>
      <c r="B669" s="1199" t="s">
        <v>4076</v>
      </c>
      <c r="C669" s="1199" t="s">
        <v>4</v>
      </c>
    </row>
    <row r="670" spans="1:3">
      <c r="A670" s="1200">
        <v>50812</v>
      </c>
      <c r="B670" s="1199" t="s">
        <v>4075</v>
      </c>
      <c r="C670" s="1199" t="s">
        <v>4062</v>
      </c>
    </row>
    <row r="671" spans="1:3">
      <c r="A671" s="1200">
        <v>50824</v>
      </c>
      <c r="B671" s="1199" t="s">
        <v>4074</v>
      </c>
      <c r="C671" s="1199" t="s">
        <v>4057</v>
      </c>
    </row>
    <row r="672" spans="1:3">
      <c r="A672" s="1200">
        <v>50850</v>
      </c>
      <c r="B672" s="1199" t="s">
        <v>4073</v>
      </c>
      <c r="C672" s="1199" t="s">
        <v>4</v>
      </c>
    </row>
    <row r="673" spans="1:3">
      <c r="A673" s="1200">
        <v>50889</v>
      </c>
      <c r="B673" s="1199" t="s">
        <v>4071</v>
      </c>
      <c r="C673" s="1199" t="s">
        <v>4062</v>
      </c>
    </row>
    <row r="674" spans="1:3">
      <c r="A674" s="1200">
        <v>50893</v>
      </c>
      <c r="B674" s="1199" t="s">
        <v>4070</v>
      </c>
      <c r="C674" s="1199" t="s">
        <v>4069</v>
      </c>
    </row>
    <row r="675" spans="1:3">
      <c r="A675" s="1200">
        <v>50894</v>
      </c>
      <c r="B675" s="1199" t="s">
        <v>4068</v>
      </c>
      <c r="C675" s="1199" t="s">
        <v>4057</v>
      </c>
    </row>
    <row r="676" spans="1:3">
      <c r="A676" s="1200">
        <v>50895</v>
      </c>
      <c r="B676" s="1199" t="s">
        <v>4067</v>
      </c>
      <c r="C676" s="1199" t="s">
        <v>4059</v>
      </c>
    </row>
    <row r="677" spans="1:3">
      <c r="A677" s="1200">
        <v>50969</v>
      </c>
      <c r="B677" s="1199" t="s">
        <v>4066</v>
      </c>
      <c r="C677" s="1199" t="s">
        <v>4</v>
      </c>
    </row>
    <row r="678" spans="1:3">
      <c r="A678" s="1200">
        <v>50993</v>
      </c>
      <c r="B678" s="1199" t="s">
        <v>4065</v>
      </c>
      <c r="C678" s="1199" t="s">
        <v>4059</v>
      </c>
    </row>
    <row r="679" spans="1:3">
      <c r="A679" s="1200">
        <v>51032</v>
      </c>
      <c r="B679" s="1199" t="s">
        <v>4064</v>
      </c>
      <c r="C679" s="1199" t="s">
        <v>4</v>
      </c>
    </row>
    <row r="680" spans="1:3">
      <c r="A680" s="1200">
        <v>51036</v>
      </c>
      <c r="B680" s="1199" t="s">
        <v>4063</v>
      </c>
      <c r="C680" s="1199" t="s">
        <v>4062</v>
      </c>
    </row>
    <row r="681" spans="1:3">
      <c r="A681" s="1200">
        <v>51053</v>
      </c>
      <c r="B681" s="1199" t="s">
        <v>4061</v>
      </c>
      <c r="C681" s="1199" t="s">
        <v>4</v>
      </c>
    </row>
    <row r="682" spans="1:3">
      <c r="A682" s="1200">
        <v>51077</v>
      </c>
      <c r="B682" s="1199" t="s">
        <v>4060</v>
      </c>
      <c r="C682" s="1199" t="s">
        <v>4059</v>
      </c>
    </row>
    <row r="683" spans="1:3">
      <c r="A683" s="1200">
        <v>51097</v>
      </c>
      <c r="B683" s="1199" t="s">
        <v>4058</v>
      </c>
      <c r="C683" s="1199" t="s">
        <v>4057</v>
      </c>
    </row>
    <row r="684" spans="1:3">
      <c r="A684" s="1200">
        <v>51136</v>
      </c>
      <c r="B684" s="1199" t="s">
        <v>4078</v>
      </c>
      <c r="C684" s="1199" t="s">
        <v>373</v>
      </c>
    </row>
    <row r="685" spans="1:3">
      <c r="A685" s="1200">
        <v>51137</v>
      </c>
      <c r="B685" s="1199" t="s">
        <v>4072</v>
      </c>
      <c r="C685" s="1199" t="s">
        <v>4</v>
      </c>
    </row>
    <row r="686" spans="1:3">
      <c r="A686" s="1200">
        <v>51144</v>
      </c>
      <c r="B686" s="1199" t="s">
        <v>4076</v>
      </c>
      <c r="C686" s="1199" t="s">
        <v>4</v>
      </c>
    </row>
    <row r="687" spans="1:3">
      <c r="A687" s="1200">
        <v>51177</v>
      </c>
      <c r="B687" s="1199" t="s">
        <v>4075</v>
      </c>
      <c r="C687" s="1199" t="s">
        <v>4077</v>
      </c>
    </row>
    <row r="688" spans="1:3">
      <c r="A688" s="1200">
        <v>51189</v>
      </c>
      <c r="B688" s="1199" t="s">
        <v>4074</v>
      </c>
      <c r="C688" s="1199" t="s">
        <v>4059</v>
      </c>
    </row>
    <row r="689" spans="1:3">
      <c r="A689" s="1200">
        <v>51215</v>
      </c>
      <c r="B689" s="1199" t="s">
        <v>4073</v>
      </c>
      <c r="C689" s="1199" t="s">
        <v>4069</v>
      </c>
    </row>
    <row r="690" spans="1:3">
      <c r="A690" s="1200">
        <v>51255</v>
      </c>
      <c r="B690" s="1199" t="s">
        <v>4071</v>
      </c>
      <c r="C690" s="1199" t="s">
        <v>373</v>
      </c>
    </row>
    <row r="691" spans="1:3">
      <c r="A691" s="1200">
        <v>51256</v>
      </c>
      <c r="B691" s="1199" t="s">
        <v>4072</v>
      </c>
      <c r="C691" s="1199" t="s">
        <v>4</v>
      </c>
    </row>
    <row r="692" spans="1:3">
      <c r="A692" s="1200">
        <v>51259</v>
      </c>
      <c r="B692" s="1199" t="s">
        <v>4070</v>
      </c>
      <c r="C692" s="1199" t="s">
        <v>4059</v>
      </c>
    </row>
    <row r="693" spans="1:3">
      <c r="A693" s="1200">
        <v>51260</v>
      </c>
      <c r="B693" s="1199" t="s">
        <v>4068</v>
      </c>
      <c r="C693" s="1199" t="s">
        <v>4062</v>
      </c>
    </row>
    <row r="694" spans="1:3">
      <c r="A694" s="1200">
        <v>51261</v>
      </c>
      <c r="B694" s="1199" t="s">
        <v>4067</v>
      </c>
      <c r="C694" s="1199" t="s">
        <v>4077</v>
      </c>
    </row>
    <row r="695" spans="1:3">
      <c r="A695" s="1200">
        <v>51333</v>
      </c>
      <c r="B695" s="1199" t="s">
        <v>4066</v>
      </c>
      <c r="C695" s="1199" t="s">
        <v>4</v>
      </c>
    </row>
    <row r="696" spans="1:3">
      <c r="A696" s="1200">
        <v>51359</v>
      </c>
      <c r="B696" s="1199" t="s">
        <v>4065</v>
      </c>
      <c r="C696" s="1199" t="s">
        <v>4077</v>
      </c>
    </row>
    <row r="697" spans="1:3">
      <c r="A697" s="1200">
        <v>51396</v>
      </c>
      <c r="B697" s="1199" t="s">
        <v>4064</v>
      </c>
      <c r="C697" s="1199" t="s">
        <v>4</v>
      </c>
    </row>
    <row r="698" spans="1:3">
      <c r="A698" s="1200">
        <v>51401</v>
      </c>
      <c r="B698" s="1199" t="s">
        <v>4063</v>
      </c>
      <c r="C698" s="1199" t="s">
        <v>4077</v>
      </c>
    </row>
    <row r="699" spans="1:3">
      <c r="A699" s="1200">
        <v>51417</v>
      </c>
      <c r="B699" s="1199" t="s">
        <v>4061</v>
      </c>
      <c r="C699" s="1199" t="s">
        <v>4</v>
      </c>
    </row>
    <row r="700" spans="1:3">
      <c r="A700" s="1200">
        <v>51443</v>
      </c>
      <c r="B700" s="1199" t="s">
        <v>4060</v>
      </c>
      <c r="C700" s="1199" t="s">
        <v>4077</v>
      </c>
    </row>
    <row r="701" spans="1:3">
      <c r="A701" s="1200">
        <v>51463</v>
      </c>
      <c r="B701" s="1199" t="s">
        <v>4058</v>
      </c>
      <c r="C701" s="1199" t="s">
        <v>4062</v>
      </c>
    </row>
    <row r="702" spans="1:3">
      <c r="A702" s="1200">
        <v>51502</v>
      </c>
      <c r="B702" s="1199" t="s">
        <v>4078</v>
      </c>
      <c r="C702" s="1199" t="s">
        <v>4069</v>
      </c>
    </row>
    <row r="703" spans="1:3">
      <c r="A703" s="1200">
        <v>51515</v>
      </c>
      <c r="B703" s="1199" t="s">
        <v>4076</v>
      </c>
      <c r="C703" s="1199" t="s">
        <v>4</v>
      </c>
    </row>
    <row r="704" spans="1:3">
      <c r="A704" s="1200">
        <v>51543</v>
      </c>
      <c r="B704" s="1199" t="s">
        <v>4075</v>
      </c>
      <c r="C704" s="1199" t="s">
        <v>4</v>
      </c>
    </row>
    <row r="705" spans="1:3">
      <c r="A705" s="1200">
        <v>51555</v>
      </c>
      <c r="B705" s="1199" t="s">
        <v>4074</v>
      </c>
      <c r="C705" s="1199" t="s">
        <v>4077</v>
      </c>
    </row>
    <row r="706" spans="1:3">
      <c r="A706" s="1200">
        <v>51580</v>
      </c>
      <c r="B706" s="1199" t="s">
        <v>4073</v>
      </c>
      <c r="C706" s="1199" t="s">
        <v>4057</v>
      </c>
    </row>
    <row r="707" spans="1:3">
      <c r="A707" s="1200">
        <v>51620</v>
      </c>
      <c r="B707" s="1199" t="s">
        <v>4071</v>
      </c>
      <c r="C707" s="1199" t="s">
        <v>4</v>
      </c>
    </row>
    <row r="708" spans="1:3">
      <c r="A708" s="1200">
        <v>51624</v>
      </c>
      <c r="B708" s="1199" t="s">
        <v>4070</v>
      </c>
      <c r="C708" s="1199" t="s">
        <v>4062</v>
      </c>
    </row>
    <row r="709" spans="1:3">
      <c r="A709" s="1200">
        <v>51625</v>
      </c>
      <c r="B709" s="1199" t="s">
        <v>4068</v>
      </c>
      <c r="C709" s="1199" t="s">
        <v>4077</v>
      </c>
    </row>
    <row r="710" spans="1:3">
      <c r="A710" s="1200">
        <v>51626</v>
      </c>
      <c r="B710" s="1199" t="s">
        <v>4067</v>
      </c>
      <c r="C710" s="1199" t="s">
        <v>373</v>
      </c>
    </row>
    <row r="711" spans="1:3">
      <c r="A711" s="1200">
        <v>51627</v>
      </c>
      <c r="B711" s="1199" t="s">
        <v>4072</v>
      </c>
      <c r="C711" s="1199" t="s">
        <v>4</v>
      </c>
    </row>
    <row r="712" spans="1:3">
      <c r="A712" s="1200">
        <v>51697</v>
      </c>
      <c r="B712" s="1199" t="s">
        <v>4066</v>
      </c>
      <c r="C712" s="1199" t="s">
        <v>4</v>
      </c>
    </row>
    <row r="713" spans="1:3">
      <c r="A713" s="1200">
        <v>51724</v>
      </c>
      <c r="B713" s="1199" t="s">
        <v>4065</v>
      </c>
      <c r="C713" s="1199" t="s">
        <v>373</v>
      </c>
    </row>
    <row r="714" spans="1:3">
      <c r="A714" s="1200">
        <v>51725</v>
      </c>
      <c r="B714" s="1199" t="s">
        <v>4072</v>
      </c>
      <c r="C714" s="1199" t="s">
        <v>4</v>
      </c>
    </row>
    <row r="715" spans="1:3">
      <c r="A715" s="1200">
        <v>51760</v>
      </c>
      <c r="B715" s="1199" t="s">
        <v>4064</v>
      </c>
      <c r="C715" s="1199" t="s">
        <v>4</v>
      </c>
    </row>
    <row r="716" spans="1:3">
      <c r="A716" s="1200">
        <v>51767</v>
      </c>
      <c r="B716" s="1199" t="s">
        <v>4063</v>
      </c>
      <c r="C716" s="1199" t="s">
        <v>4</v>
      </c>
    </row>
    <row r="717" spans="1:3">
      <c r="A717" s="1200">
        <v>51788</v>
      </c>
      <c r="B717" s="1199" t="s">
        <v>4061</v>
      </c>
      <c r="C717" s="1199" t="s">
        <v>4</v>
      </c>
    </row>
    <row r="718" spans="1:3">
      <c r="A718" s="1200">
        <v>51808</v>
      </c>
      <c r="B718" s="1199" t="s">
        <v>4060</v>
      </c>
      <c r="C718" s="1199" t="s">
        <v>373</v>
      </c>
    </row>
    <row r="719" spans="1:3">
      <c r="A719" s="1200">
        <v>51809</v>
      </c>
      <c r="B719" s="1199" t="s">
        <v>4072</v>
      </c>
      <c r="C719" s="1199" t="s">
        <v>4</v>
      </c>
    </row>
    <row r="720" spans="1:3">
      <c r="A720" s="1200">
        <v>51828</v>
      </c>
      <c r="B720" s="1199" t="s">
        <v>4058</v>
      </c>
      <c r="C720" s="1199" t="s">
        <v>4077</v>
      </c>
    </row>
    <row r="721" spans="1:3">
      <c r="A721" s="1200">
        <v>51867</v>
      </c>
      <c r="B721" s="1199" t="s">
        <v>4078</v>
      </c>
      <c r="C721" s="1199" t="s">
        <v>4057</v>
      </c>
    </row>
    <row r="722" spans="1:3">
      <c r="A722" s="1200">
        <v>51879</v>
      </c>
      <c r="B722" s="1199" t="s">
        <v>4076</v>
      </c>
      <c r="C722" s="1199" t="s">
        <v>4</v>
      </c>
    </row>
    <row r="723" spans="1:3">
      <c r="A723" s="1200">
        <v>51908</v>
      </c>
      <c r="B723" s="1199" t="s">
        <v>4075</v>
      </c>
      <c r="C723" s="1199" t="s">
        <v>4069</v>
      </c>
    </row>
    <row r="724" spans="1:3">
      <c r="A724" s="1200">
        <v>51920</v>
      </c>
      <c r="B724" s="1199" t="s">
        <v>4074</v>
      </c>
      <c r="C724" s="1199" t="s">
        <v>373</v>
      </c>
    </row>
    <row r="725" spans="1:3">
      <c r="A725" s="1200">
        <v>51921</v>
      </c>
      <c r="B725" s="1199" t="s">
        <v>4072</v>
      </c>
      <c r="C725" s="1199" t="s">
        <v>4</v>
      </c>
    </row>
    <row r="726" spans="1:3">
      <c r="A726" s="1200">
        <v>51945</v>
      </c>
      <c r="B726" s="1199" t="s">
        <v>4073</v>
      </c>
      <c r="C726" s="1199" t="s">
        <v>4059</v>
      </c>
    </row>
    <row r="727" spans="1:3">
      <c r="A727" s="1200">
        <v>51985</v>
      </c>
      <c r="B727" s="1199" t="s">
        <v>4071</v>
      </c>
      <c r="C727" s="1199" t="s">
        <v>4069</v>
      </c>
    </row>
    <row r="728" spans="1:3">
      <c r="A728" s="1200">
        <v>51989</v>
      </c>
      <c r="B728" s="1199" t="s">
        <v>4070</v>
      </c>
      <c r="C728" s="1199" t="s">
        <v>4077</v>
      </c>
    </row>
    <row r="729" spans="1:3">
      <c r="A729" s="1200">
        <v>51990</v>
      </c>
      <c r="B729" s="1199" t="s">
        <v>4068</v>
      </c>
      <c r="C729" s="1199" t="s">
        <v>373</v>
      </c>
    </row>
    <row r="730" spans="1:3">
      <c r="A730" s="1200">
        <v>51991</v>
      </c>
      <c r="B730" s="1199" t="s">
        <v>4067</v>
      </c>
      <c r="C730" s="1199" t="s">
        <v>4</v>
      </c>
    </row>
    <row r="731" spans="1:3">
      <c r="A731" s="1200">
        <v>51992</v>
      </c>
      <c r="B731" s="1199" t="s">
        <v>4072</v>
      </c>
      <c r="C731" s="1199" t="s">
        <v>4069</v>
      </c>
    </row>
    <row r="732" spans="1:3">
      <c r="A732" s="1200">
        <v>52068</v>
      </c>
      <c r="B732" s="1199" t="s">
        <v>4066</v>
      </c>
      <c r="C732" s="1199" t="s">
        <v>4</v>
      </c>
    </row>
    <row r="733" spans="1:3">
      <c r="A733" s="1200">
        <v>52089</v>
      </c>
      <c r="B733" s="1199" t="s">
        <v>4065</v>
      </c>
      <c r="C733" s="1199" t="s">
        <v>4</v>
      </c>
    </row>
    <row r="734" spans="1:3">
      <c r="A734" s="1200">
        <v>52124</v>
      </c>
      <c r="B734" s="1199" t="s">
        <v>4064</v>
      </c>
      <c r="C734" s="1199" t="s">
        <v>4</v>
      </c>
    </row>
    <row r="735" spans="1:3">
      <c r="A735" s="1200">
        <v>52132</v>
      </c>
      <c r="B735" s="1199" t="s">
        <v>4063</v>
      </c>
      <c r="C735" s="1199" t="s">
        <v>4069</v>
      </c>
    </row>
    <row r="736" spans="1:3">
      <c r="A736" s="1200">
        <v>52152</v>
      </c>
      <c r="B736" s="1199" t="s">
        <v>4061</v>
      </c>
      <c r="C736" s="1199" t="s">
        <v>4</v>
      </c>
    </row>
    <row r="737" spans="1:3">
      <c r="A737" s="1200">
        <v>52173</v>
      </c>
      <c r="B737" s="1199" t="s">
        <v>4060</v>
      </c>
      <c r="C737" s="1199" t="s">
        <v>4</v>
      </c>
    </row>
    <row r="738" spans="1:3">
      <c r="A738" s="1200">
        <v>52193</v>
      </c>
      <c r="B738" s="1199" t="s">
        <v>4058</v>
      </c>
      <c r="C738" s="1199" t="s">
        <v>373</v>
      </c>
    </row>
    <row r="739" spans="1:3">
      <c r="A739" s="1200">
        <v>52194</v>
      </c>
      <c r="B739" s="1199" t="s">
        <v>4072</v>
      </c>
      <c r="C739" s="1199" t="s">
        <v>4</v>
      </c>
    </row>
    <row r="740" spans="1:3">
      <c r="A740" s="1200">
        <v>52232</v>
      </c>
      <c r="B740" s="1199" t="s">
        <v>4078</v>
      </c>
      <c r="C740" s="1199" t="s">
        <v>4059</v>
      </c>
    </row>
    <row r="741" spans="1:3">
      <c r="A741" s="1200">
        <v>52243</v>
      </c>
      <c r="B741" s="1199" t="s">
        <v>4076</v>
      </c>
      <c r="C741" s="1199" t="s">
        <v>4</v>
      </c>
    </row>
    <row r="742" spans="1:3">
      <c r="A742" s="1200">
        <v>52273</v>
      </c>
      <c r="B742" s="1199" t="s">
        <v>4075</v>
      </c>
      <c r="C742" s="1199" t="s">
        <v>4057</v>
      </c>
    </row>
    <row r="743" spans="1:3">
      <c r="A743" s="1200">
        <v>52285</v>
      </c>
      <c r="B743" s="1199" t="s">
        <v>4074</v>
      </c>
      <c r="C743" s="1199" t="s">
        <v>4</v>
      </c>
    </row>
    <row r="744" spans="1:3">
      <c r="A744" s="1200">
        <v>52311</v>
      </c>
      <c r="B744" s="1199" t="s">
        <v>4073</v>
      </c>
      <c r="C744" s="1199" t="s">
        <v>4077</v>
      </c>
    </row>
    <row r="745" spans="1:3">
      <c r="A745" s="1200">
        <v>52350</v>
      </c>
      <c r="B745" s="1199" t="s">
        <v>4071</v>
      </c>
      <c r="C745" s="1199" t="s">
        <v>4057</v>
      </c>
    </row>
    <row r="746" spans="1:3">
      <c r="A746" s="1200">
        <v>52354</v>
      </c>
      <c r="B746" s="1199" t="s">
        <v>4070</v>
      </c>
      <c r="C746" s="1199" t="s">
        <v>373</v>
      </c>
    </row>
    <row r="747" spans="1:3">
      <c r="A747" s="1200">
        <v>52355</v>
      </c>
      <c r="B747" s="1199" t="s">
        <v>4068</v>
      </c>
      <c r="C747" s="1199" t="s">
        <v>4</v>
      </c>
    </row>
    <row r="748" spans="1:3">
      <c r="A748" s="1200">
        <v>52356</v>
      </c>
      <c r="B748" s="1199" t="s">
        <v>4067</v>
      </c>
      <c r="C748" s="1199" t="s">
        <v>4069</v>
      </c>
    </row>
    <row r="749" spans="1:3">
      <c r="A749" s="1200">
        <v>52357</v>
      </c>
      <c r="B749" s="1199" t="s">
        <v>4072</v>
      </c>
      <c r="C749" s="1199" t="s">
        <v>4057</v>
      </c>
    </row>
    <row r="750" spans="1:3">
      <c r="A750" s="1200">
        <v>52432</v>
      </c>
      <c r="B750" s="1199" t="s">
        <v>4066</v>
      </c>
      <c r="C750" s="1199" t="s">
        <v>4</v>
      </c>
    </row>
    <row r="751" spans="1:3">
      <c r="A751" s="1200">
        <v>52454</v>
      </c>
      <c r="B751" s="1199" t="s">
        <v>4065</v>
      </c>
      <c r="C751" s="1199" t="s">
        <v>4069</v>
      </c>
    </row>
    <row r="752" spans="1:3">
      <c r="A752" s="1200">
        <v>52495</v>
      </c>
      <c r="B752" s="1199" t="s">
        <v>4064</v>
      </c>
      <c r="C752" s="1199" t="s">
        <v>4</v>
      </c>
    </row>
    <row r="753" spans="1:3">
      <c r="A753" s="1200">
        <v>52496</v>
      </c>
      <c r="B753" s="1199" t="s">
        <v>4079</v>
      </c>
      <c r="C753" s="1199" t="s">
        <v>4069</v>
      </c>
    </row>
    <row r="754" spans="1:3">
      <c r="A754" s="1200">
        <v>52497</v>
      </c>
      <c r="B754" s="1199" t="s">
        <v>4063</v>
      </c>
      <c r="C754" s="1199" t="s">
        <v>4057</v>
      </c>
    </row>
    <row r="755" spans="1:3">
      <c r="A755" s="1200">
        <v>52516</v>
      </c>
      <c r="B755" s="1199" t="s">
        <v>4061</v>
      </c>
      <c r="C755" s="1199" t="s">
        <v>4</v>
      </c>
    </row>
    <row r="756" spans="1:3">
      <c r="A756" s="1200">
        <v>52538</v>
      </c>
      <c r="B756" s="1199" t="s">
        <v>4060</v>
      </c>
      <c r="C756" s="1199" t="s">
        <v>4069</v>
      </c>
    </row>
    <row r="757" spans="1:3">
      <c r="A757" s="1200">
        <v>52558</v>
      </c>
      <c r="B757" s="1199" t="s">
        <v>4058</v>
      </c>
      <c r="C757" s="1199" t="s">
        <v>4</v>
      </c>
    </row>
    <row r="758" spans="1:3">
      <c r="A758" s="1200">
        <v>52597</v>
      </c>
      <c r="B758" s="1199" t="s">
        <v>4078</v>
      </c>
      <c r="C758" s="1199" t="s">
        <v>4062</v>
      </c>
    </row>
    <row r="759" spans="1:3">
      <c r="A759" s="1200">
        <v>52607</v>
      </c>
      <c r="B759" s="1199" t="s">
        <v>4076</v>
      </c>
      <c r="C759" s="1199" t="s">
        <v>4</v>
      </c>
    </row>
    <row r="760" spans="1:3">
      <c r="A760" s="1200">
        <v>52638</v>
      </c>
      <c r="B760" s="1199" t="s">
        <v>4075</v>
      </c>
      <c r="C760" s="1199" t="s">
        <v>4059</v>
      </c>
    </row>
    <row r="761" spans="1:3">
      <c r="A761" s="1200">
        <v>52650</v>
      </c>
      <c r="B761" s="1199" t="s">
        <v>4074</v>
      </c>
      <c r="C761" s="1199" t="s">
        <v>4069</v>
      </c>
    </row>
    <row r="762" spans="1:3">
      <c r="A762" s="1200">
        <v>52676</v>
      </c>
      <c r="B762" s="1199" t="s">
        <v>4073</v>
      </c>
      <c r="C762" s="1199" t="s">
        <v>373</v>
      </c>
    </row>
    <row r="763" spans="1:3">
      <c r="A763" s="1200">
        <v>52677</v>
      </c>
      <c r="B763" s="1199" t="s">
        <v>4072</v>
      </c>
      <c r="C763" s="1199" t="s">
        <v>4</v>
      </c>
    </row>
    <row r="764" spans="1:3">
      <c r="A764" s="1200">
        <v>52716</v>
      </c>
      <c r="B764" s="1199" t="s">
        <v>4071</v>
      </c>
      <c r="C764" s="1199" t="s">
        <v>4062</v>
      </c>
    </row>
    <row r="765" spans="1:3">
      <c r="A765" s="1200">
        <v>52720</v>
      </c>
      <c r="B765" s="1199" t="s">
        <v>4070</v>
      </c>
      <c r="C765" s="1199" t="s">
        <v>4069</v>
      </c>
    </row>
    <row r="766" spans="1:3">
      <c r="A766" s="1200">
        <v>52721</v>
      </c>
      <c r="B766" s="1199" t="s">
        <v>4068</v>
      </c>
      <c r="C766" s="1199" t="s">
        <v>4057</v>
      </c>
    </row>
    <row r="767" spans="1:3">
      <c r="A767" s="1200">
        <v>52722</v>
      </c>
      <c r="B767" s="1199" t="s">
        <v>4067</v>
      </c>
      <c r="C767" s="1199" t="s">
        <v>4059</v>
      </c>
    </row>
    <row r="768" spans="1:3">
      <c r="A768" s="1200">
        <v>52796</v>
      </c>
      <c r="B768" s="1199" t="s">
        <v>4066</v>
      </c>
      <c r="C768" s="1199" t="s">
        <v>4</v>
      </c>
    </row>
    <row r="769" spans="1:3">
      <c r="A769" s="1200">
        <v>52820</v>
      </c>
      <c r="B769" s="1199" t="s">
        <v>4065</v>
      </c>
      <c r="C769" s="1199" t="s">
        <v>4059</v>
      </c>
    </row>
    <row r="770" spans="1:3">
      <c r="A770" s="1200">
        <v>52859</v>
      </c>
      <c r="B770" s="1199" t="s">
        <v>4064</v>
      </c>
      <c r="C770" s="1199" t="s">
        <v>4</v>
      </c>
    </row>
    <row r="771" spans="1:3">
      <c r="A771" s="1200">
        <v>52862</v>
      </c>
      <c r="B771" s="1199" t="s">
        <v>4063</v>
      </c>
      <c r="C771" s="1199" t="s">
        <v>4059</v>
      </c>
    </row>
    <row r="772" spans="1:3">
      <c r="A772" s="1200">
        <v>52880</v>
      </c>
      <c r="B772" s="1199" t="s">
        <v>4061</v>
      </c>
      <c r="C772" s="1199" t="s">
        <v>4</v>
      </c>
    </row>
    <row r="773" spans="1:3">
      <c r="A773" s="1200">
        <v>52904</v>
      </c>
      <c r="B773" s="1199" t="s">
        <v>4060</v>
      </c>
      <c r="C773" s="1199" t="s">
        <v>4059</v>
      </c>
    </row>
    <row r="774" spans="1:3">
      <c r="A774" s="1200">
        <v>52924</v>
      </c>
      <c r="B774" s="1199" t="s">
        <v>4058</v>
      </c>
      <c r="C774" s="1199" t="s">
        <v>4057</v>
      </c>
    </row>
    <row r="775" spans="1:3">
      <c r="A775" s="1200">
        <v>52963</v>
      </c>
      <c r="B775" s="1199" t="s">
        <v>4078</v>
      </c>
      <c r="C775" s="1199" t="s">
        <v>373</v>
      </c>
    </row>
    <row r="776" spans="1:3">
      <c r="A776" s="1200">
        <v>52964</v>
      </c>
      <c r="B776" s="1199" t="s">
        <v>4072</v>
      </c>
      <c r="C776" s="1199" t="s">
        <v>4</v>
      </c>
    </row>
    <row r="777" spans="1:3">
      <c r="A777" s="1200">
        <v>52971</v>
      </c>
      <c r="B777" s="1199" t="s">
        <v>4076</v>
      </c>
      <c r="C777" s="1199" t="s">
        <v>4</v>
      </c>
    </row>
    <row r="778" spans="1:3">
      <c r="A778" s="1200">
        <v>53004</v>
      </c>
      <c r="B778" s="1199" t="s">
        <v>4075</v>
      </c>
      <c r="C778" s="1199" t="s">
        <v>4077</v>
      </c>
    </row>
    <row r="779" spans="1:3">
      <c r="A779" s="1200">
        <v>53016</v>
      </c>
      <c r="B779" s="1199" t="s">
        <v>4074</v>
      </c>
      <c r="C779" s="1199" t="s">
        <v>4059</v>
      </c>
    </row>
    <row r="780" spans="1:3">
      <c r="A780" s="1200">
        <v>53041</v>
      </c>
      <c r="B780" s="1199" t="s">
        <v>4073</v>
      </c>
      <c r="C780" s="1199" t="s">
        <v>4</v>
      </c>
    </row>
    <row r="781" spans="1:3">
      <c r="A781" s="1200">
        <v>53081</v>
      </c>
      <c r="B781" s="1199" t="s">
        <v>4071</v>
      </c>
      <c r="C781" s="1199" t="s">
        <v>4077</v>
      </c>
    </row>
    <row r="782" spans="1:3">
      <c r="A782" s="1200">
        <v>53085</v>
      </c>
      <c r="B782" s="1199" t="s">
        <v>4070</v>
      </c>
      <c r="C782" s="1199" t="s">
        <v>4057</v>
      </c>
    </row>
    <row r="783" spans="1:3">
      <c r="A783" s="1200">
        <v>53086</v>
      </c>
      <c r="B783" s="1199" t="s">
        <v>4068</v>
      </c>
      <c r="C783" s="1199" t="s">
        <v>4059</v>
      </c>
    </row>
    <row r="784" spans="1:3">
      <c r="A784" s="1200">
        <v>53087</v>
      </c>
      <c r="B784" s="1199" t="s">
        <v>4067</v>
      </c>
      <c r="C784" s="1199" t="s">
        <v>4062</v>
      </c>
    </row>
    <row r="785" spans="1:3">
      <c r="A785" s="1200">
        <v>53160</v>
      </c>
      <c r="B785" s="1199" t="s">
        <v>4066</v>
      </c>
      <c r="C785" s="1199" t="s">
        <v>4</v>
      </c>
    </row>
    <row r="786" spans="1:3">
      <c r="A786" s="1200">
        <v>53185</v>
      </c>
      <c r="B786" s="1199" t="s">
        <v>4065</v>
      </c>
      <c r="C786" s="1199" t="s">
        <v>4062</v>
      </c>
    </row>
    <row r="787" spans="1:3">
      <c r="A787" s="1200">
        <v>53223</v>
      </c>
      <c r="B787" s="1199" t="s">
        <v>4064</v>
      </c>
      <c r="C787" s="1199" t="s">
        <v>4</v>
      </c>
    </row>
    <row r="788" spans="1:3">
      <c r="A788" s="1200">
        <v>53227</v>
      </c>
      <c r="B788" s="1199" t="s">
        <v>4063</v>
      </c>
      <c r="C788" s="1199" t="s">
        <v>4062</v>
      </c>
    </row>
    <row r="789" spans="1:3">
      <c r="A789" s="1200">
        <v>53244</v>
      </c>
      <c r="B789" s="1199" t="s">
        <v>4061</v>
      </c>
      <c r="C789" s="1199" t="s">
        <v>4</v>
      </c>
    </row>
    <row r="790" spans="1:3">
      <c r="A790" s="1200">
        <v>53269</v>
      </c>
      <c r="B790" s="1199" t="s">
        <v>4060</v>
      </c>
      <c r="C790" s="1199" t="s">
        <v>4062</v>
      </c>
    </row>
    <row r="791" spans="1:3">
      <c r="A791" s="1200">
        <v>53289</v>
      </c>
      <c r="B791" s="1199" t="s">
        <v>4058</v>
      </c>
      <c r="C791" s="1199" t="s">
        <v>4059</v>
      </c>
    </row>
    <row r="792" spans="1:3">
      <c r="A792" s="1200">
        <v>53328</v>
      </c>
      <c r="B792" s="1199" t="s">
        <v>4078</v>
      </c>
      <c r="C792" s="1199" t="s">
        <v>4</v>
      </c>
    </row>
    <row r="793" spans="1:3">
      <c r="A793" s="1200">
        <v>53335</v>
      </c>
      <c r="B793" s="1199" t="s">
        <v>4076</v>
      </c>
      <c r="C793" s="1199" t="s">
        <v>4</v>
      </c>
    </row>
    <row r="794" spans="1:3">
      <c r="A794" s="1200">
        <v>53369</v>
      </c>
      <c r="B794" s="1199" t="s">
        <v>4075</v>
      </c>
      <c r="C794" s="1199" t="s">
        <v>373</v>
      </c>
    </row>
    <row r="795" spans="1:3">
      <c r="A795" s="1200">
        <v>53370</v>
      </c>
      <c r="B795" s="1199" t="s">
        <v>4072</v>
      </c>
      <c r="C795" s="1199" t="s">
        <v>4</v>
      </c>
    </row>
    <row r="796" spans="1:3">
      <c r="A796" s="1200">
        <v>53381</v>
      </c>
      <c r="B796" s="1199" t="s">
        <v>4074</v>
      </c>
      <c r="C796" s="1199" t="s">
        <v>4062</v>
      </c>
    </row>
    <row r="797" spans="1:3">
      <c r="A797" s="1200">
        <v>53406</v>
      </c>
      <c r="B797" s="1199" t="s">
        <v>4073</v>
      </c>
      <c r="C797" s="1199" t="s">
        <v>4069</v>
      </c>
    </row>
    <row r="798" spans="1:3">
      <c r="A798" s="1200">
        <v>53446</v>
      </c>
      <c r="B798" s="1199" t="s">
        <v>4071</v>
      </c>
      <c r="C798" s="1199" t="s">
        <v>373</v>
      </c>
    </row>
    <row r="799" spans="1:3">
      <c r="A799" s="1200">
        <v>53447</v>
      </c>
      <c r="B799" s="1199" t="s">
        <v>4072</v>
      </c>
      <c r="C799" s="1199" t="s">
        <v>4</v>
      </c>
    </row>
    <row r="800" spans="1:3">
      <c r="A800" s="1200">
        <v>53450</v>
      </c>
      <c r="B800" s="1199" t="s">
        <v>4070</v>
      </c>
      <c r="C800" s="1199" t="s">
        <v>4059</v>
      </c>
    </row>
    <row r="801" spans="1:3">
      <c r="A801" s="1200">
        <v>53451</v>
      </c>
      <c r="B801" s="1199" t="s">
        <v>4068</v>
      </c>
      <c r="C801" s="1199" t="s">
        <v>4062</v>
      </c>
    </row>
    <row r="802" spans="1:3">
      <c r="A802" s="1200">
        <v>53452</v>
      </c>
      <c r="B802" s="1199" t="s">
        <v>4067</v>
      </c>
      <c r="C802" s="1199" t="s">
        <v>4077</v>
      </c>
    </row>
    <row r="803" spans="1:3">
      <c r="A803" s="1200">
        <v>53524</v>
      </c>
      <c r="B803" s="1199" t="s">
        <v>4066</v>
      </c>
      <c r="C803" s="1199" t="s">
        <v>4</v>
      </c>
    </row>
    <row r="804" spans="1:3">
      <c r="A804" s="1200">
        <v>53550</v>
      </c>
      <c r="B804" s="1199" t="s">
        <v>4065</v>
      </c>
      <c r="C804" s="1199" t="s">
        <v>4077</v>
      </c>
    </row>
    <row r="805" spans="1:3">
      <c r="A805" s="1200">
        <v>53587</v>
      </c>
      <c r="B805" s="1199" t="s">
        <v>4064</v>
      </c>
      <c r="C805" s="1199" t="s">
        <v>4</v>
      </c>
    </row>
    <row r="806" spans="1:3">
      <c r="A806" s="1200">
        <v>53593</v>
      </c>
      <c r="B806" s="1199" t="s">
        <v>4063</v>
      </c>
      <c r="C806" s="1199" t="s">
        <v>373</v>
      </c>
    </row>
    <row r="807" spans="1:3">
      <c r="A807" s="1200">
        <v>53594</v>
      </c>
      <c r="B807" s="1199" t="s">
        <v>4072</v>
      </c>
      <c r="C807" s="1199" t="s">
        <v>4</v>
      </c>
    </row>
    <row r="808" spans="1:3">
      <c r="A808" s="1200">
        <v>53608</v>
      </c>
      <c r="B808" s="1199" t="s">
        <v>4061</v>
      </c>
      <c r="C808" s="1199" t="s">
        <v>4</v>
      </c>
    </row>
    <row r="809" spans="1:3">
      <c r="A809" s="1200">
        <v>53634</v>
      </c>
      <c r="B809" s="1199" t="s">
        <v>4060</v>
      </c>
      <c r="C809" s="1199" t="s">
        <v>4077</v>
      </c>
    </row>
    <row r="810" spans="1:3">
      <c r="A810" s="1200">
        <v>53654</v>
      </c>
      <c r="B810" s="1199" t="s">
        <v>4058</v>
      </c>
      <c r="C810" s="1199" t="s">
        <v>4062</v>
      </c>
    </row>
    <row r="811" spans="1:3">
      <c r="A811" s="1200">
        <v>53693</v>
      </c>
      <c r="B811" s="1199" t="s">
        <v>4078</v>
      </c>
      <c r="C811" s="1199" t="s">
        <v>4069</v>
      </c>
    </row>
    <row r="812" spans="1:3">
      <c r="A812" s="1200">
        <v>53706</v>
      </c>
      <c r="B812" s="1199" t="s">
        <v>4076</v>
      </c>
      <c r="C812" s="1199" t="s">
        <v>4</v>
      </c>
    </row>
    <row r="813" spans="1:3">
      <c r="A813" s="1200">
        <v>53734</v>
      </c>
      <c r="B813" s="1199" t="s">
        <v>4075</v>
      </c>
      <c r="C813" s="1199" t="s">
        <v>4</v>
      </c>
    </row>
    <row r="814" spans="1:3">
      <c r="A814" s="1200">
        <v>53746</v>
      </c>
      <c r="B814" s="1199" t="s">
        <v>4074</v>
      </c>
      <c r="C814" s="1199" t="s">
        <v>4077</v>
      </c>
    </row>
    <row r="815" spans="1:3">
      <c r="A815" s="1200">
        <v>53772</v>
      </c>
      <c r="B815" s="1199" t="s">
        <v>4073</v>
      </c>
      <c r="C815" s="1199" t="s">
        <v>4059</v>
      </c>
    </row>
    <row r="816" spans="1:3">
      <c r="A816" s="1200">
        <v>53811</v>
      </c>
      <c r="B816" s="1199" t="s">
        <v>4071</v>
      </c>
      <c r="C816" s="1199" t="s">
        <v>4</v>
      </c>
    </row>
    <row r="817" spans="1:3">
      <c r="A817" s="1200">
        <v>53815</v>
      </c>
      <c r="B817" s="1199" t="s">
        <v>4070</v>
      </c>
      <c r="C817" s="1199" t="s">
        <v>4062</v>
      </c>
    </row>
    <row r="818" spans="1:3">
      <c r="A818" s="1200">
        <v>53816</v>
      </c>
      <c r="B818" s="1199" t="s">
        <v>4068</v>
      </c>
      <c r="C818" s="1199" t="s">
        <v>4077</v>
      </c>
    </row>
    <row r="819" spans="1:3">
      <c r="A819" s="1200">
        <v>53817</v>
      </c>
      <c r="B819" s="1199" t="s">
        <v>4067</v>
      </c>
      <c r="C819" s="1199" t="s">
        <v>373</v>
      </c>
    </row>
    <row r="820" spans="1:3">
      <c r="A820" s="1200">
        <v>53818</v>
      </c>
      <c r="B820" s="1199" t="s">
        <v>4072</v>
      </c>
      <c r="C820" s="1199" t="s">
        <v>4</v>
      </c>
    </row>
    <row r="821" spans="1:3">
      <c r="A821" s="1200">
        <v>53888</v>
      </c>
      <c r="B821" s="1199" t="s">
        <v>4066</v>
      </c>
      <c r="C821" s="1199" t="s">
        <v>4</v>
      </c>
    </row>
    <row r="822" spans="1:3">
      <c r="A822" s="1200">
        <v>53915</v>
      </c>
      <c r="B822" s="1199" t="s">
        <v>4065</v>
      </c>
      <c r="C822" s="1199" t="s">
        <v>373</v>
      </c>
    </row>
    <row r="823" spans="1:3">
      <c r="A823" s="1200">
        <v>53916</v>
      </c>
      <c r="B823" s="1199" t="s">
        <v>4072</v>
      </c>
      <c r="C823" s="1199" t="s">
        <v>4</v>
      </c>
    </row>
    <row r="824" spans="1:3">
      <c r="A824" s="1200">
        <v>53951</v>
      </c>
      <c r="B824" s="1199" t="s">
        <v>4064</v>
      </c>
      <c r="C824" s="1199" t="s">
        <v>4</v>
      </c>
    </row>
    <row r="825" spans="1:3">
      <c r="A825" s="1200">
        <v>53958</v>
      </c>
      <c r="B825" s="1199" t="s">
        <v>4063</v>
      </c>
      <c r="C825" s="1199" t="s">
        <v>4</v>
      </c>
    </row>
    <row r="826" spans="1:3">
      <c r="A826" s="1200">
        <v>53979</v>
      </c>
      <c r="B826" s="1199" t="s">
        <v>4061</v>
      </c>
      <c r="C826" s="1199" t="s">
        <v>4</v>
      </c>
    </row>
    <row r="827" spans="1:3">
      <c r="A827" s="1200">
        <v>53999</v>
      </c>
      <c r="B827" s="1199" t="s">
        <v>4060</v>
      </c>
      <c r="C827" s="1199" t="s">
        <v>373</v>
      </c>
    </row>
    <row r="828" spans="1:3">
      <c r="A828" s="1200">
        <v>54000</v>
      </c>
      <c r="B828" s="1199" t="s">
        <v>4072</v>
      </c>
      <c r="C828" s="1199" t="s">
        <v>4</v>
      </c>
    </row>
    <row r="829" spans="1:3">
      <c r="A829" s="1200">
        <v>54019</v>
      </c>
      <c r="B829" s="1199" t="s">
        <v>4058</v>
      </c>
      <c r="C829" s="1199" t="s">
        <v>4077</v>
      </c>
    </row>
    <row r="830" spans="1:3">
      <c r="A830" s="1200">
        <v>54058</v>
      </c>
      <c r="B830" s="1199" t="s">
        <v>4078</v>
      </c>
      <c r="C830" s="1199" t="s">
        <v>4057</v>
      </c>
    </row>
    <row r="831" spans="1:3">
      <c r="A831" s="1200">
        <v>54070</v>
      </c>
      <c r="B831" s="1199" t="s">
        <v>4076</v>
      </c>
      <c r="C831" s="1199" t="s">
        <v>4</v>
      </c>
    </row>
    <row r="832" spans="1:3">
      <c r="A832" s="1200">
        <v>54099</v>
      </c>
      <c r="B832" s="1199" t="s">
        <v>4075</v>
      </c>
      <c r="C832" s="1199" t="s">
        <v>4069</v>
      </c>
    </row>
    <row r="833" spans="1:3">
      <c r="A833" s="1200">
        <v>54111</v>
      </c>
      <c r="B833" s="1199" t="s">
        <v>4074</v>
      </c>
      <c r="C833" s="1199" t="s">
        <v>373</v>
      </c>
    </row>
    <row r="834" spans="1:3">
      <c r="A834" s="1200">
        <v>54112</v>
      </c>
      <c r="B834" s="1199" t="s">
        <v>4072</v>
      </c>
      <c r="C834" s="1199" t="s">
        <v>4</v>
      </c>
    </row>
    <row r="835" spans="1:3">
      <c r="A835" s="1200">
        <v>54137</v>
      </c>
      <c r="B835" s="1199" t="s">
        <v>4073</v>
      </c>
      <c r="C835" s="1199" t="s">
        <v>4062</v>
      </c>
    </row>
    <row r="836" spans="1:3">
      <c r="A836" s="1200">
        <v>54177</v>
      </c>
      <c r="B836" s="1199" t="s">
        <v>4071</v>
      </c>
      <c r="C836" s="1199" t="s">
        <v>4057</v>
      </c>
    </row>
    <row r="837" spans="1:3">
      <c r="A837" s="1200">
        <v>54181</v>
      </c>
      <c r="B837" s="1199" t="s">
        <v>4070</v>
      </c>
      <c r="C837" s="1199" t="s">
        <v>373</v>
      </c>
    </row>
    <row r="838" spans="1:3">
      <c r="A838" s="1200">
        <v>54182</v>
      </c>
      <c r="B838" s="1199" t="s">
        <v>4068</v>
      </c>
      <c r="C838" s="1199" t="s">
        <v>4</v>
      </c>
    </row>
    <row r="839" spans="1:3">
      <c r="A839" s="1200">
        <v>54183</v>
      </c>
      <c r="B839" s="1199" t="s">
        <v>4067</v>
      </c>
      <c r="C839" s="1199" t="s">
        <v>4069</v>
      </c>
    </row>
    <row r="840" spans="1:3">
      <c r="A840" s="1200">
        <v>54184</v>
      </c>
      <c r="B840" s="1199" t="s">
        <v>4072</v>
      </c>
      <c r="C840" s="1199" t="s">
        <v>4057</v>
      </c>
    </row>
    <row r="841" spans="1:3">
      <c r="A841" s="1200">
        <v>54259</v>
      </c>
      <c r="B841" s="1199" t="s">
        <v>4066</v>
      </c>
      <c r="C841" s="1199" t="s">
        <v>4</v>
      </c>
    </row>
    <row r="842" spans="1:3">
      <c r="A842" s="1200">
        <v>54281</v>
      </c>
      <c r="B842" s="1199" t="s">
        <v>4065</v>
      </c>
      <c r="C842" s="1199" t="s">
        <v>4069</v>
      </c>
    </row>
    <row r="843" spans="1:3">
      <c r="A843" s="1200">
        <v>54322</v>
      </c>
      <c r="B843" s="1199" t="s">
        <v>4064</v>
      </c>
      <c r="C843" s="1199" t="s">
        <v>4</v>
      </c>
    </row>
    <row r="844" spans="1:3">
      <c r="A844" s="1200">
        <v>54323</v>
      </c>
      <c r="B844" s="1199" t="s">
        <v>4063</v>
      </c>
      <c r="C844" s="1199" t="s">
        <v>4069</v>
      </c>
    </row>
    <row r="845" spans="1:3">
      <c r="A845" s="1200">
        <v>54343</v>
      </c>
      <c r="B845" s="1199" t="s">
        <v>4061</v>
      </c>
      <c r="C845" s="1199" t="s">
        <v>4</v>
      </c>
    </row>
    <row r="846" spans="1:3">
      <c r="A846" s="1200">
        <v>54365</v>
      </c>
      <c r="B846" s="1199" t="s">
        <v>4060</v>
      </c>
      <c r="C846" s="1199" t="s">
        <v>4069</v>
      </c>
    </row>
    <row r="847" spans="1:3">
      <c r="A847" s="1200">
        <v>54385</v>
      </c>
      <c r="B847" s="1199" t="s">
        <v>4058</v>
      </c>
      <c r="C847" s="1199" t="s">
        <v>4</v>
      </c>
    </row>
    <row r="848" spans="1:3">
      <c r="A848" s="1200">
        <v>54424</v>
      </c>
      <c r="B848" s="1199" t="s">
        <v>4078</v>
      </c>
      <c r="C848" s="1199" t="s">
        <v>4062</v>
      </c>
    </row>
    <row r="849" spans="1:3">
      <c r="A849" s="1200">
        <v>54434</v>
      </c>
      <c r="B849" s="1199" t="s">
        <v>4076</v>
      </c>
      <c r="C849" s="1199" t="s">
        <v>4</v>
      </c>
    </row>
    <row r="850" spans="1:3">
      <c r="A850" s="1200">
        <v>54465</v>
      </c>
      <c r="B850" s="1199" t="s">
        <v>4075</v>
      </c>
      <c r="C850" s="1199" t="s">
        <v>4059</v>
      </c>
    </row>
    <row r="851" spans="1:3">
      <c r="A851" s="1200">
        <v>54477</v>
      </c>
      <c r="B851" s="1199" t="s">
        <v>4074</v>
      </c>
      <c r="C851" s="1199" t="s">
        <v>4069</v>
      </c>
    </row>
    <row r="852" spans="1:3">
      <c r="A852" s="1200">
        <v>54502</v>
      </c>
      <c r="B852" s="1199" t="s">
        <v>4073</v>
      </c>
      <c r="C852" s="1199" t="s">
        <v>4077</v>
      </c>
    </row>
    <row r="853" spans="1:3">
      <c r="A853" s="1200">
        <v>54542</v>
      </c>
      <c r="B853" s="1199" t="s">
        <v>4071</v>
      </c>
      <c r="C853" s="1199" t="s">
        <v>4059</v>
      </c>
    </row>
    <row r="854" spans="1:3">
      <c r="A854" s="1200">
        <v>54546</v>
      </c>
      <c r="B854" s="1199" t="s">
        <v>4070</v>
      </c>
      <c r="C854" s="1199" t="s">
        <v>4</v>
      </c>
    </row>
    <row r="855" spans="1:3">
      <c r="A855" s="1200">
        <v>54547</v>
      </c>
      <c r="B855" s="1199" t="s">
        <v>4068</v>
      </c>
      <c r="C855" s="1199" t="s">
        <v>4069</v>
      </c>
    </row>
    <row r="856" spans="1:3">
      <c r="A856" s="1200">
        <v>54548</v>
      </c>
      <c r="B856" s="1199" t="s">
        <v>4067</v>
      </c>
      <c r="C856" s="1199" t="s">
        <v>4057</v>
      </c>
    </row>
    <row r="857" spans="1:3">
      <c r="A857" s="1200">
        <v>54623</v>
      </c>
      <c r="B857" s="1199" t="s">
        <v>4066</v>
      </c>
      <c r="C857" s="1199" t="s">
        <v>4</v>
      </c>
    </row>
    <row r="858" spans="1:3">
      <c r="A858" s="1200">
        <v>54646</v>
      </c>
      <c r="B858" s="1199" t="s">
        <v>4065</v>
      </c>
      <c r="C858" s="1199" t="s">
        <v>4057</v>
      </c>
    </row>
    <row r="859" spans="1:3">
      <c r="A859" s="1200">
        <v>54686</v>
      </c>
      <c r="B859" s="1199" t="s">
        <v>4064</v>
      </c>
      <c r="C859" s="1199" t="s">
        <v>4</v>
      </c>
    </row>
    <row r="860" spans="1:3">
      <c r="A860" s="1200">
        <v>54687</v>
      </c>
      <c r="B860" s="1199" t="s">
        <v>4079</v>
      </c>
      <c r="C860" s="1199" t="s">
        <v>4069</v>
      </c>
    </row>
    <row r="861" spans="1:3">
      <c r="A861" s="1200">
        <v>54688</v>
      </c>
      <c r="B861" s="1199" t="s">
        <v>4063</v>
      </c>
      <c r="C861" s="1199" t="s">
        <v>4057</v>
      </c>
    </row>
    <row r="862" spans="1:3">
      <c r="A862" s="1200">
        <v>54707</v>
      </c>
      <c r="B862" s="1199" t="s">
        <v>4061</v>
      </c>
      <c r="C862" s="1199" t="s">
        <v>4</v>
      </c>
    </row>
    <row r="863" spans="1:3">
      <c r="A863" s="1200">
        <v>54730</v>
      </c>
      <c r="B863" s="1199" t="s">
        <v>4060</v>
      </c>
      <c r="C863" s="1199" t="s">
        <v>4057</v>
      </c>
    </row>
    <row r="864" spans="1:3">
      <c r="A864" s="1200">
        <v>54750</v>
      </c>
      <c r="B864" s="1199" t="s">
        <v>4058</v>
      </c>
      <c r="C864" s="1199" t="s">
        <v>4069</v>
      </c>
    </row>
    <row r="865" spans="1:3">
      <c r="A865" s="1200">
        <v>54789</v>
      </c>
      <c r="B865" s="1199" t="s">
        <v>4078</v>
      </c>
      <c r="C865" s="1199" t="s">
        <v>4077</v>
      </c>
    </row>
    <row r="866" spans="1:3">
      <c r="A866" s="1200">
        <v>54798</v>
      </c>
      <c r="B866" s="1199" t="s">
        <v>4076</v>
      </c>
      <c r="C866" s="1199" t="s">
        <v>4</v>
      </c>
    </row>
    <row r="867" spans="1:3">
      <c r="A867" s="1200">
        <v>54830</v>
      </c>
      <c r="B867" s="1199" t="s">
        <v>4075</v>
      </c>
      <c r="C867" s="1199" t="s">
        <v>4062</v>
      </c>
    </row>
    <row r="868" spans="1:3">
      <c r="A868" s="1200">
        <v>54842</v>
      </c>
      <c r="B868" s="1199" t="s">
        <v>4074</v>
      </c>
      <c r="C868" s="1199" t="s">
        <v>4057</v>
      </c>
    </row>
    <row r="869" spans="1:3">
      <c r="A869" s="1200">
        <v>54867</v>
      </c>
      <c r="B869" s="1199" t="s">
        <v>4073</v>
      </c>
      <c r="C869" s="1199" t="s">
        <v>373</v>
      </c>
    </row>
    <row r="870" spans="1:3">
      <c r="A870" s="1200">
        <v>54868</v>
      </c>
      <c r="B870" s="1199" t="s">
        <v>4072</v>
      </c>
      <c r="C870" s="1199" t="s">
        <v>4</v>
      </c>
    </row>
    <row r="871" spans="1:3">
      <c r="A871" s="1200">
        <v>54907</v>
      </c>
      <c r="B871" s="1199" t="s">
        <v>4071</v>
      </c>
      <c r="C871" s="1199" t="s">
        <v>4062</v>
      </c>
    </row>
    <row r="872" spans="1:3">
      <c r="A872" s="1200">
        <v>54911</v>
      </c>
      <c r="B872" s="1199" t="s">
        <v>4070</v>
      </c>
      <c r="C872" s="1199" t="s">
        <v>4069</v>
      </c>
    </row>
    <row r="873" spans="1:3">
      <c r="A873" s="1200">
        <v>54912</v>
      </c>
      <c r="B873" s="1199" t="s">
        <v>4068</v>
      </c>
      <c r="C873" s="1199" t="s">
        <v>4057</v>
      </c>
    </row>
    <row r="874" spans="1:3">
      <c r="A874" s="1200">
        <v>54913</v>
      </c>
      <c r="B874" s="1199" t="s">
        <v>4067</v>
      </c>
      <c r="C874" s="1199" t="s">
        <v>4059</v>
      </c>
    </row>
    <row r="875" spans="1:3">
      <c r="A875" s="1200">
        <v>54987</v>
      </c>
      <c r="B875" s="1199" t="s">
        <v>4066</v>
      </c>
      <c r="C875" s="1199" t="s">
        <v>4</v>
      </c>
    </row>
    <row r="876" spans="1:3">
      <c r="A876" s="1200">
        <v>55011</v>
      </c>
      <c r="B876" s="1199" t="s">
        <v>4065</v>
      </c>
      <c r="C876" s="1199" t="s">
        <v>4059</v>
      </c>
    </row>
    <row r="877" spans="1:3">
      <c r="A877" s="1200">
        <v>55050</v>
      </c>
      <c r="B877" s="1199" t="s">
        <v>4064</v>
      </c>
      <c r="C877" s="1199" t="s">
        <v>4</v>
      </c>
    </row>
    <row r="878" spans="1:3">
      <c r="A878" s="1200">
        <v>55054</v>
      </c>
      <c r="B878" s="1199" t="s">
        <v>4063</v>
      </c>
      <c r="C878" s="1199" t="s">
        <v>4062</v>
      </c>
    </row>
    <row r="879" spans="1:3">
      <c r="A879" s="1200">
        <v>55071</v>
      </c>
      <c r="B879" s="1199" t="s">
        <v>4061</v>
      </c>
      <c r="C879" s="1199" t="s">
        <v>4</v>
      </c>
    </row>
    <row r="880" spans="1:3">
      <c r="A880" s="1200">
        <v>55095</v>
      </c>
      <c r="B880" s="1199" t="s">
        <v>4060</v>
      </c>
      <c r="C880" s="1199" t="s">
        <v>4059</v>
      </c>
    </row>
    <row r="881" spans="1:3">
      <c r="A881" s="1200">
        <v>55115</v>
      </c>
      <c r="B881" s="1199" t="s">
        <v>4058</v>
      </c>
      <c r="C881" s="1199" t="s">
        <v>4057</v>
      </c>
    </row>
    <row r="882" spans="1:3">
      <c r="A882" s="1200">
        <v>45655</v>
      </c>
    </row>
    <row r="883" spans="1:3">
      <c r="A883" s="1200">
        <v>45656</v>
      </c>
    </row>
    <row r="884" spans="1:3">
      <c r="A884" s="1200">
        <v>45657</v>
      </c>
    </row>
    <row r="885" spans="1:3">
      <c r="A885" s="1200">
        <v>45658</v>
      </c>
    </row>
    <row r="886" spans="1:3">
      <c r="A886" s="1200">
        <v>45659</v>
      </c>
    </row>
    <row r="887" spans="1:3">
      <c r="A887" s="1200">
        <v>45660</v>
      </c>
    </row>
    <row r="888" spans="1:3">
      <c r="A888" s="1200">
        <v>46020</v>
      </c>
    </row>
    <row r="889" spans="1:3">
      <c r="A889" s="1219">
        <v>46021</v>
      </c>
    </row>
    <row r="890" spans="1:3">
      <c r="A890" s="1200">
        <v>46022</v>
      </c>
    </row>
    <row r="891" spans="1:3">
      <c r="A891" s="1219">
        <v>46023</v>
      </c>
    </row>
    <row r="892" spans="1:3">
      <c r="A892" s="1200">
        <v>46024</v>
      </c>
    </row>
    <row r="893" spans="1:3">
      <c r="A893" s="1219">
        <v>46025</v>
      </c>
    </row>
    <row r="894" spans="1:3">
      <c r="A894" s="1200">
        <v>46385</v>
      </c>
    </row>
    <row r="895" spans="1:3">
      <c r="A895" s="1200">
        <v>46386</v>
      </c>
    </row>
    <row r="896" spans="1:3">
      <c r="A896" s="1200">
        <v>46387</v>
      </c>
    </row>
    <row r="897" spans="1:1">
      <c r="A897" s="1200">
        <v>46388</v>
      </c>
    </row>
    <row r="898" spans="1:1">
      <c r="A898" s="1200">
        <v>46389</v>
      </c>
    </row>
    <row r="899" spans="1:1">
      <c r="A899" s="1200">
        <v>46390</v>
      </c>
    </row>
    <row r="900" spans="1:1">
      <c r="A900" s="1200">
        <v>46750</v>
      </c>
    </row>
    <row r="901" spans="1:1">
      <c r="A901" s="1219">
        <v>46751</v>
      </c>
    </row>
    <row r="902" spans="1:1">
      <c r="A902" s="1200">
        <v>46752</v>
      </c>
    </row>
    <row r="903" spans="1:1">
      <c r="A903" s="1219">
        <v>46753</v>
      </c>
    </row>
    <row r="904" spans="1:1">
      <c r="A904" s="1200">
        <v>46754</v>
      </c>
    </row>
    <row r="905" spans="1:1">
      <c r="A905" s="1219">
        <v>46755</v>
      </c>
    </row>
    <row r="906" spans="1:1">
      <c r="A906" s="1200">
        <v>47116</v>
      </c>
    </row>
    <row r="907" spans="1:1">
      <c r="A907" s="1200">
        <v>47117</v>
      </c>
    </row>
    <row r="908" spans="1:1">
      <c r="A908" s="1200">
        <v>47118</v>
      </c>
    </row>
    <row r="909" spans="1:1">
      <c r="A909" s="1200">
        <v>47119</v>
      </c>
    </row>
    <row r="910" spans="1:1">
      <c r="A910" s="1200">
        <v>47120</v>
      </c>
    </row>
    <row r="911" spans="1:1">
      <c r="A911" s="1200">
        <v>47121</v>
      </c>
    </row>
    <row r="912" spans="1:1">
      <c r="A912" s="1200">
        <v>47481</v>
      </c>
    </row>
    <row r="913" spans="1:1">
      <c r="A913" s="1219">
        <v>47482</v>
      </c>
    </row>
    <row r="914" spans="1:1">
      <c r="A914" s="1200">
        <v>47483</v>
      </c>
    </row>
    <row r="915" spans="1:1">
      <c r="A915" s="1219">
        <v>47484</v>
      </c>
    </row>
    <row r="916" spans="1:1">
      <c r="A916" s="1200">
        <v>47485</v>
      </c>
    </row>
    <row r="917" spans="1:1">
      <c r="A917" s="1219">
        <v>47486</v>
      </c>
    </row>
    <row r="918" spans="1:1">
      <c r="A918" s="1200">
        <v>47846</v>
      </c>
    </row>
    <row r="919" spans="1:1">
      <c r="A919" s="1200">
        <v>47847</v>
      </c>
    </row>
    <row r="920" spans="1:1">
      <c r="A920" s="1200">
        <v>47848</v>
      </c>
    </row>
    <row r="921" spans="1:1">
      <c r="A921" s="1200">
        <v>47849</v>
      </c>
    </row>
    <row r="922" spans="1:1">
      <c r="A922" s="1200">
        <v>47850</v>
      </c>
    </row>
    <row r="923" spans="1:1">
      <c r="A923" s="1200">
        <v>47851</v>
      </c>
    </row>
    <row r="924" spans="1:1">
      <c r="A924" s="1200">
        <v>48211</v>
      </c>
    </row>
    <row r="925" spans="1:1">
      <c r="A925" s="1219">
        <v>48212</v>
      </c>
    </row>
    <row r="926" spans="1:1">
      <c r="A926" s="1200">
        <v>48213</v>
      </c>
    </row>
    <row r="927" spans="1:1">
      <c r="A927" s="1219">
        <v>48214</v>
      </c>
    </row>
    <row r="928" spans="1:1">
      <c r="A928" s="1200">
        <v>48215</v>
      </c>
    </row>
    <row r="929" spans="1:1">
      <c r="A929" s="1219">
        <v>48216</v>
      </c>
    </row>
    <row r="930" spans="1:1">
      <c r="A930" s="1200">
        <v>48577</v>
      </c>
    </row>
    <row r="931" spans="1:1">
      <c r="A931" s="1200">
        <v>48578</v>
      </c>
    </row>
    <row r="932" spans="1:1">
      <c r="A932" s="1200">
        <v>48579</v>
      </c>
    </row>
    <row r="933" spans="1:1">
      <c r="A933" s="1200">
        <v>48580</v>
      </c>
    </row>
    <row r="934" spans="1:1">
      <c r="A934" s="1200">
        <v>48581</v>
      </c>
    </row>
    <row r="935" spans="1:1">
      <c r="A935" s="1200">
        <v>48582</v>
      </c>
    </row>
    <row r="936" spans="1:1">
      <c r="A936" s="1200">
        <v>48942</v>
      </c>
    </row>
    <row r="937" spans="1:1">
      <c r="A937" s="1219">
        <v>48943</v>
      </c>
    </row>
    <row r="938" spans="1:1">
      <c r="A938" s="1200">
        <v>48944</v>
      </c>
    </row>
    <row r="939" spans="1:1">
      <c r="A939" s="1219">
        <v>48945</v>
      </c>
    </row>
    <row r="940" spans="1:1">
      <c r="A940" s="1200">
        <v>48946</v>
      </c>
    </row>
    <row r="941" spans="1:1">
      <c r="A941" s="1219">
        <v>48947</v>
      </c>
    </row>
    <row r="942" spans="1:1">
      <c r="A942" s="1200">
        <v>49307</v>
      </c>
    </row>
    <row r="943" spans="1:1">
      <c r="A943" s="1200">
        <v>49308</v>
      </c>
    </row>
    <row r="944" spans="1:1">
      <c r="A944" s="1200">
        <v>49309</v>
      </c>
    </row>
    <row r="945" spans="1:1">
      <c r="A945" s="1200">
        <v>49310</v>
      </c>
    </row>
    <row r="946" spans="1:1">
      <c r="A946" s="1200">
        <v>49311</v>
      </c>
    </row>
    <row r="947" spans="1:1">
      <c r="A947" s="1200">
        <v>49312</v>
      </c>
    </row>
    <row r="948" spans="1:1">
      <c r="A948" s="1200">
        <v>49672</v>
      </c>
    </row>
    <row r="949" spans="1:1">
      <c r="A949" s="1219">
        <v>49673</v>
      </c>
    </row>
    <row r="950" spans="1:1">
      <c r="A950" s="1200">
        <v>49674</v>
      </c>
    </row>
    <row r="951" spans="1:1">
      <c r="A951" s="1219">
        <v>49675</v>
      </c>
    </row>
    <row r="952" spans="1:1">
      <c r="A952" s="1200">
        <v>49676</v>
      </c>
    </row>
    <row r="953" spans="1:1">
      <c r="A953" s="1219">
        <v>49677</v>
      </c>
    </row>
    <row r="954" spans="1:1">
      <c r="A954" s="1200">
        <v>50038</v>
      </c>
    </row>
    <row r="955" spans="1:1">
      <c r="A955" s="1200">
        <v>50039</v>
      </c>
    </row>
    <row r="956" spans="1:1">
      <c r="A956" s="1200">
        <v>50040</v>
      </c>
    </row>
    <row r="957" spans="1:1">
      <c r="A957" s="1200">
        <v>50041</v>
      </c>
    </row>
    <row r="958" spans="1:1">
      <c r="A958" s="1200">
        <v>50042</v>
      </c>
    </row>
    <row r="959" spans="1:1">
      <c r="A959" s="1200">
        <v>50043</v>
      </c>
    </row>
    <row r="960" spans="1:1">
      <c r="A960" s="1200">
        <v>50403</v>
      </c>
    </row>
    <row r="961" spans="1:1">
      <c r="A961" s="1219">
        <v>50404</v>
      </c>
    </row>
    <row r="962" spans="1:1">
      <c r="A962" s="1200">
        <v>50405</v>
      </c>
    </row>
    <row r="963" spans="1:1">
      <c r="A963" s="1219">
        <v>50406</v>
      </c>
    </row>
    <row r="964" spans="1:1">
      <c r="A964" s="1200">
        <v>50407</v>
      </c>
    </row>
    <row r="965" spans="1:1">
      <c r="A965" s="1219">
        <v>50408</v>
      </c>
    </row>
    <row r="966" spans="1:1">
      <c r="A966" s="1200">
        <v>50768</v>
      </c>
    </row>
    <row r="967" spans="1:1">
      <c r="A967" s="1200">
        <v>50769</v>
      </c>
    </row>
    <row r="968" spans="1:1">
      <c r="A968" s="1200">
        <v>50770</v>
      </c>
    </row>
    <row r="969" spans="1:1">
      <c r="A969" s="1200">
        <v>50771</v>
      </c>
    </row>
    <row r="970" spans="1:1">
      <c r="A970" s="1200">
        <v>50772</v>
      </c>
    </row>
    <row r="971" spans="1:1">
      <c r="A971" s="1200">
        <v>50773</v>
      </c>
    </row>
    <row r="972" spans="1:1">
      <c r="A972" s="1200">
        <v>51133</v>
      </c>
    </row>
    <row r="973" spans="1:1">
      <c r="A973" s="1219">
        <v>51134</v>
      </c>
    </row>
    <row r="974" spans="1:1">
      <c r="A974" s="1200">
        <v>51135</v>
      </c>
    </row>
    <row r="975" spans="1:1">
      <c r="A975" s="1219">
        <v>51136</v>
      </c>
    </row>
    <row r="976" spans="1:1">
      <c r="A976" s="1200">
        <v>51137</v>
      </c>
    </row>
    <row r="977" spans="1:1">
      <c r="A977" s="1219">
        <v>51138</v>
      </c>
    </row>
    <row r="978" spans="1:1">
      <c r="A978" s="1200">
        <v>51499</v>
      </c>
    </row>
    <row r="979" spans="1:1">
      <c r="A979" s="1200">
        <v>51500</v>
      </c>
    </row>
    <row r="980" spans="1:1">
      <c r="A980" s="1200">
        <v>51501</v>
      </c>
    </row>
    <row r="981" spans="1:1">
      <c r="A981" s="1200">
        <v>51502</v>
      </c>
    </row>
    <row r="982" spans="1:1">
      <c r="A982" s="1200">
        <v>51503</v>
      </c>
    </row>
    <row r="983" spans="1:1">
      <c r="A983" s="1200">
        <v>51504</v>
      </c>
    </row>
    <row r="984" spans="1:1">
      <c r="A984" s="1200">
        <v>51864</v>
      </c>
    </row>
    <row r="985" spans="1:1">
      <c r="A985" s="1219">
        <v>51865</v>
      </c>
    </row>
    <row r="986" spans="1:1">
      <c r="A986" s="1200">
        <v>51866</v>
      </c>
    </row>
    <row r="987" spans="1:1">
      <c r="A987" s="1219">
        <v>51867</v>
      </c>
    </row>
    <row r="988" spans="1:1">
      <c r="A988" s="1200">
        <v>51868</v>
      </c>
    </row>
    <row r="989" spans="1:1">
      <c r="A989" s="1219">
        <v>51869</v>
      </c>
    </row>
    <row r="990" spans="1:1">
      <c r="A990" s="1200">
        <v>52229</v>
      </c>
    </row>
    <row r="991" spans="1:1">
      <c r="A991" s="1200">
        <v>52230</v>
      </c>
    </row>
    <row r="992" spans="1:1">
      <c r="A992" s="1200">
        <v>52231</v>
      </c>
    </row>
    <row r="993" spans="1:1">
      <c r="A993" s="1200">
        <v>52232</v>
      </c>
    </row>
    <row r="994" spans="1:1">
      <c r="A994" s="1200">
        <v>52233</v>
      </c>
    </row>
    <row r="995" spans="1:1">
      <c r="A995" s="1200">
        <v>52234</v>
      </c>
    </row>
    <row r="996" spans="1:1">
      <c r="A996" s="1200">
        <v>52594</v>
      </c>
    </row>
    <row r="997" spans="1:1">
      <c r="A997" s="1219">
        <v>52595</v>
      </c>
    </row>
    <row r="998" spans="1:1">
      <c r="A998" s="1200">
        <v>52596</v>
      </c>
    </row>
    <row r="999" spans="1:1">
      <c r="A999" s="1219">
        <v>52597</v>
      </c>
    </row>
    <row r="1000" spans="1:1">
      <c r="A1000" s="1200">
        <v>52598</v>
      </c>
    </row>
    <row r="1001" spans="1:1">
      <c r="A1001" s="1219">
        <v>52599</v>
      </c>
    </row>
    <row r="1002" spans="1:1">
      <c r="A1002" s="1200">
        <v>52960</v>
      </c>
    </row>
    <row r="1003" spans="1:1">
      <c r="A1003" s="1200">
        <v>52961</v>
      </c>
    </row>
    <row r="1004" spans="1:1">
      <c r="A1004" s="1200">
        <v>52962</v>
      </c>
    </row>
    <row r="1005" spans="1:1">
      <c r="A1005" s="1200">
        <v>52963</v>
      </c>
    </row>
    <row r="1006" spans="1:1">
      <c r="A1006" s="1200">
        <v>52964</v>
      </c>
    </row>
    <row r="1007" spans="1:1">
      <c r="A1007" s="1200">
        <v>52965</v>
      </c>
    </row>
    <row r="1008" spans="1:1">
      <c r="A1008" s="1200">
        <v>53325</v>
      </c>
    </row>
    <row r="1009" spans="1:1">
      <c r="A1009" s="1219">
        <v>53326</v>
      </c>
    </row>
    <row r="1010" spans="1:1">
      <c r="A1010" s="1200">
        <v>53327</v>
      </c>
    </row>
    <row r="1011" spans="1:1">
      <c r="A1011" s="1219">
        <v>53328</v>
      </c>
    </row>
    <row r="1012" spans="1:1">
      <c r="A1012" s="1200">
        <v>53329</v>
      </c>
    </row>
    <row r="1013" spans="1:1">
      <c r="A1013" s="1219">
        <v>53330</v>
      </c>
    </row>
    <row r="1014" spans="1:1">
      <c r="A1014" s="1200">
        <v>53690</v>
      </c>
    </row>
    <row r="1015" spans="1:1">
      <c r="A1015" s="1200">
        <v>53691</v>
      </c>
    </row>
    <row r="1016" spans="1:1">
      <c r="A1016" s="1200">
        <v>53692</v>
      </c>
    </row>
    <row r="1017" spans="1:1">
      <c r="A1017" s="1200">
        <v>53693</v>
      </c>
    </row>
    <row r="1018" spans="1:1">
      <c r="A1018" s="1200">
        <v>53694</v>
      </c>
    </row>
    <row r="1019" spans="1:1">
      <c r="A1019" s="1200">
        <v>53695</v>
      </c>
    </row>
    <row r="1020" spans="1:1">
      <c r="A1020" s="1200">
        <v>54055</v>
      </c>
    </row>
    <row r="1021" spans="1:1">
      <c r="A1021" s="1219">
        <v>54056</v>
      </c>
    </row>
    <row r="1022" spans="1:1">
      <c r="A1022" s="1200">
        <v>54057</v>
      </c>
    </row>
    <row r="1023" spans="1:1">
      <c r="A1023" s="1219">
        <v>54058</v>
      </c>
    </row>
    <row r="1024" spans="1:1">
      <c r="A1024" s="1200">
        <v>54059</v>
      </c>
    </row>
    <row r="1025" spans="1:1">
      <c r="A1025" s="1219">
        <v>54060</v>
      </c>
    </row>
    <row r="1026" spans="1:1">
      <c r="A1026" s="1200">
        <v>54421</v>
      </c>
    </row>
    <row r="1027" spans="1:1">
      <c r="A1027" s="1200">
        <v>54422</v>
      </c>
    </row>
    <row r="1028" spans="1:1">
      <c r="A1028" s="1200">
        <v>54423</v>
      </c>
    </row>
    <row r="1029" spans="1:1">
      <c r="A1029" s="1200">
        <v>54424</v>
      </c>
    </row>
    <row r="1030" spans="1:1">
      <c r="A1030" s="1200">
        <v>54425</v>
      </c>
    </row>
    <row r="1031" spans="1:1">
      <c r="A1031" s="1200">
        <v>54426</v>
      </c>
    </row>
    <row r="1032" spans="1:1">
      <c r="A1032" s="1200">
        <v>54786</v>
      </c>
    </row>
    <row r="1033" spans="1:1">
      <c r="A1033" s="1219">
        <v>54787</v>
      </c>
    </row>
    <row r="1034" spans="1:1">
      <c r="A1034" s="1200">
        <v>54788</v>
      </c>
    </row>
    <row r="1035" spans="1:1">
      <c r="A1035" s="1219">
        <v>54789</v>
      </c>
    </row>
    <row r="1036" spans="1:1">
      <c r="A1036" s="1200">
        <v>54790</v>
      </c>
    </row>
    <row r="1037" spans="1:1">
      <c r="A1037" s="1219">
        <v>54791</v>
      </c>
    </row>
    <row r="1038" spans="1:1">
      <c r="A1038" s="1200">
        <v>55151</v>
      </c>
    </row>
    <row r="1039" spans="1:1">
      <c r="A1039" s="1200">
        <v>55152</v>
      </c>
    </row>
    <row r="1040" spans="1:1">
      <c r="A1040" s="1200">
        <v>55153</v>
      </c>
    </row>
    <row r="1041" spans="1:1">
      <c r="A1041" s="1200">
        <v>55154</v>
      </c>
    </row>
    <row r="1042" spans="1:1">
      <c r="A1042" s="1200">
        <v>55155</v>
      </c>
    </row>
    <row r="1043" spans="1:1">
      <c r="A1043" s="1200">
        <v>55156</v>
      </c>
    </row>
  </sheetData>
  <sheetProtection algorithmName="SHA-512" hashValue="itt/NM6qdd1puLTYj1OtFqT+VbXBrfLxV5VzqQDJT3IJdmTOVbz3OXSCPe4ZhLDAKdYyscKecP8h+xFnQpSJ0Q==" saltValue="Lg/mz9P/f/0wYQ676P4n3Q==" spinCount="100000" sheet="1" objects="1" scenarios="1"/>
  <phoneticPr fontId="139"/>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CH65"/>
  <sheetViews>
    <sheetView workbookViewId="0"/>
  </sheetViews>
  <sheetFormatPr defaultColWidth="2.875" defaultRowHeight="15" customHeight="1"/>
  <cols>
    <col min="1" max="1" width="2.875" style="243" customWidth="1"/>
    <col min="2" max="16384" width="2.875" style="243"/>
  </cols>
  <sheetData>
    <row r="2" spans="2:86" ht="15" customHeight="1">
      <c r="B2" s="241" t="s">
        <v>2693</v>
      </c>
      <c r="C2" s="242"/>
      <c r="AL2" s="1305" t="s">
        <v>2694</v>
      </c>
      <c r="AM2" s="1305"/>
      <c r="AN2" s="1305"/>
      <c r="AO2" s="1305"/>
      <c r="AP2" s="1305"/>
      <c r="AQ2" s="1305"/>
      <c r="AR2" s="1305"/>
      <c r="AT2" s="1306" t="s">
        <v>2695</v>
      </c>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row>
    <row r="3" spans="2:86" ht="15" customHeight="1">
      <c r="B3" s="242"/>
      <c r="C3" s="242"/>
      <c r="AL3" s="1305"/>
      <c r="AM3" s="1305"/>
      <c r="AN3" s="1305"/>
      <c r="AO3" s="1305"/>
      <c r="AP3" s="1305"/>
      <c r="AQ3" s="1305"/>
      <c r="AR3" s="1305"/>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c r="BP3" s="1306"/>
      <c r="BQ3" s="1306"/>
      <c r="BR3" s="1306"/>
      <c r="BS3" s="1306"/>
      <c r="BT3" s="1306"/>
      <c r="BU3" s="1306"/>
      <c r="BV3" s="1306"/>
      <c r="BW3" s="1306"/>
      <c r="BX3" s="1306"/>
      <c r="BY3" s="1306"/>
      <c r="BZ3" s="1306"/>
      <c r="CA3" s="1306"/>
      <c r="CB3" s="1306"/>
      <c r="CC3" s="1306"/>
      <c r="CD3" s="1306"/>
      <c r="CE3" s="1306"/>
      <c r="CF3" s="1306"/>
      <c r="CG3" s="1306"/>
      <c r="CH3" s="1306"/>
    </row>
    <row r="4" spans="2:86" ht="15" customHeight="1">
      <c r="B4" s="242"/>
      <c r="C4" s="242" t="s">
        <v>2696</v>
      </c>
    </row>
    <row r="5" spans="2:86" ht="15" customHeight="1">
      <c r="B5" s="242"/>
    </row>
    <row r="6" spans="2:86" ht="15" customHeight="1">
      <c r="B6" s="242"/>
      <c r="C6" s="242" t="s">
        <v>2697</v>
      </c>
      <c r="AL6" s="244" t="s">
        <v>2698</v>
      </c>
      <c r="AM6" s="244" t="s">
        <v>2699</v>
      </c>
    </row>
    <row r="7" spans="2:86" ht="15" customHeight="1">
      <c r="B7" s="242"/>
      <c r="C7" s="242" t="s">
        <v>2700</v>
      </c>
      <c r="AL7" s="244" t="s">
        <v>2701</v>
      </c>
      <c r="AM7" s="244" t="s">
        <v>2702</v>
      </c>
    </row>
    <row r="8" spans="2:86" ht="15" customHeight="1">
      <c r="B8" s="242"/>
    </row>
    <row r="9" spans="2:86" ht="15" customHeight="1">
      <c r="B9" s="242"/>
      <c r="C9" s="245" t="s">
        <v>2703</v>
      </c>
    </row>
    <row r="10" spans="2:86" ht="15" customHeight="1">
      <c r="B10" s="245"/>
      <c r="C10" s="245" t="s">
        <v>2704</v>
      </c>
    </row>
    <row r="11" spans="2:86" ht="15" customHeight="1">
      <c r="B11" s="245"/>
      <c r="C11" s="245" t="s">
        <v>2705</v>
      </c>
    </row>
    <row r="12" spans="2:86" ht="15" customHeight="1">
      <c r="B12" s="245"/>
    </row>
    <row r="13" spans="2:86" ht="15" customHeight="1">
      <c r="B13" s="245"/>
      <c r="C13" s="242" t="s">
        <v>2706</v>
      </c>
    </row>
    <row r="14" spans="2:86" ht="15" customHeight="1">
      <c r="B14" s="245"/>
      <c r="C14" s="242" t="s">
        <v>2707</v>
      </c>
    </row>
    <row r="15" spans="2:86" ht="15" customHeight="1">
      <c r="B15" s="245"/>
    </row>
    <row r="16" spans="2:86" ht="15" customHeight="1">
      <c r="B16" s="245"/>
    </row>
    <row r="17" spans="1:36" ht="15" customHeight="1">
      <c r="B17" s="246" t="s">
        <v>2708</v>
      </c>
    </row>
    <row r="18" spans="1:36" ht="15" customHeight="1">
      <c r="B18" s="246"/>
    </row>
    <row r="19" spans="1:36" ht="15" customHeight="1">
      <c r="B19" s="246"/>
      <c r="C19" s="245" t="s">
        <v>2709</v>
      </c>
    </row>
    <row r="20" spans="1:36" ht="15" customHeight="1">
      <c r="B20" s="245"/>
      <c r="C20" s="247" t="s">
        <v>2710</v>
      </c>
    </row>
    <row r="21" spans="1:36" ht="15" customHeight="1">
      <c r="A21" s="248"/>
      <c r="B21" s="249"/>
      <c r="C21" s="250" t="s">
        <v>2711</v>
      </c>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row>
    <row r="22" spans="1:36" ht="15" customHeight="1">
      <c r="B22" s="246"/>
      <c r="C22" s="246"/>
      <c r="D22" s="246"/>
      <c r="E22" s="246"/>
      <c r="F22" s="246"/>
      <c r="G22" s="246"/>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row>
    <row r="23" spans="1:36" ht="15" customHeight="1">
      <c r="A23" s="246"/>
      <c r="B23" s="246"/>
      <c r="C23" s="246"/>
      <c r="D23" s="246"/>
      <c r="E23" s="246"/>
      <c r="F23" s="246"/>
      <c r="G23" s="246"/>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row>
    <row r="24" spans="1:36" ht="15" customHeight="1">
      <c r="B24" s="246" t="s">
        <v>2712</v>
      </c>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row>
    <row r="26" spans="1:36" ht="15" customHeight="1">
      <c r="C26" s="252"/>
      <c r="D26" s="249" t="s">
        <v>2713</v>
      </c>
      <c r="AI26" s="248"/>
      <c r="AJ26" s="248"/>
    </row>
    <row r="27" spans="1:36" ht="15" customHeight="1">
      <c r="D27" s="249"/>
    </row>
    <row r="28" spans="1:36" ht="15" customHeight="1">
      <c r="C28" s="253"/>
      <c r="D28" s="249" t="s">
        <v>2714</v>
      </c>
    </row>
    <row r="29" spans="1:36" ht="15" customHeight="1">
      <c r="D29" s="249"/>
    </row>
    <row r="30" spans="1:36" ht="15" customHeight="1">
      <c r="C30" s="254"/>
      <c r="D30" s="249" t="s">
        <v>2715</v>
      </c>
    </row>
    <row r="32" spans="1:36" ht="15" customHeight="1">
      <c r="C32" s="255"/>
      <c r="D32" s="249" t="s">
        <v>2716</v>
      </c>
    </row>
    <row r="33" spans="3:39" ht="15" customHeight="1">
      <c r="C33" s="249"/>
      <c r="D33" s="249"/>
    </row>
    <row r="34" spans="3:39" ht="15" customHeight="1">
      <c r="C34" s="256"/>
      <c r="D34" s="249" t="s">
        <v>2717</v>
      </c>
    </row>
    <row r="35" spans="3:39" ht="15" customHeight="1">
      <c r="AL35" s="244" t="s">
        <v>2718</v>
      </c>
      <c r="AM35" s="244" t="s">
        <v>2719</v>
      </c>
    </row>
    <row r="37" spans="3:39" ht="15" customHeight="1">
      <c r="G37" s="249" t="s">
        <v>2720</v>
      </c>
    </row>
    <row r="38" spans="3:39" ht="15" customHeight="1">
      <c r="G38" s="249" t="s">
        <v>2721</v>
      </c>
    </row>
    <row r="41" spans="3:39" ht="15" customHeight="1">
      <c r="C41" s="257" t="s">
        <v>2722</v>
      </c>
      <c r="D41" s="258"/>
      <c r="E41" s="258"/>
      <c r="F41" s="259"/>
      <c r="G41" s="260" t="s">
        <v>2723</v>
      </c>
      <c r="H41" s="261"/>
      <c r="I41" s="261"/>
      <c r="J41" s="261"/>
      <c r="K41" s="261"/>
      <c r="M41" s="245" t="s">
        <v>2724</v>
      </c>
    </row>
    <row r="42" spans="3:39" ht="15" customHeight="1">
      <c r="C42" s="257" t="s">
        <v>2725</v>
      </c>
      <c r="D42" s="258"/>
      <c r="E42" s="258"/>
      <c r="F42" s="259"/>
      <c r="G42" s="262" t="s">
        <v>2726</v>
      </c>
      <c r="H42" s="263"/>
      <c r="I42" s="263"/>
      <c r="J42" s="263"/>
      <c r="K42" s="263"/>
    </row>
    <row r="50" spans="1:39" ht="15" customHeight="1">
      <c r="B50" s="243" t="s">
        <v>2727</v>
      </c>
      <c r="AL50" s="244" t="s">
        <v>2728</v>
      </c>
      <c r="AM50" s="244" t="s">
        <v>2729</v>
      </c>
    </row>
    <row r="51" spans="1:39" ht="15" customHeight="1">
      <c r="A51" s="264"/>
      <c r="B51" s="1307">
        <v>43556</v>
      </c>
      <c r="C51" s="1307"/>
      <c r="D51" s="1307"/>
      <c r="E51" s="1307"/>
      <c r="F51" s="1307"/>
      <c r="G51" s="264" t="s">
        <v>2730</v>
      </c>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L51" s="244" t="s">
        <v>2731</v>
      </c>
      <c r="AM51" s="244" t="s">
        <v>2732</v>
      </c>
    </row>
    <row r="52" spans="1:39" ht="15" customHeight="1">
      <c r="A52" s="264"/>
      <c r="B52" s="1307">
        <v>43948</v>
      </c>
      <c r="C52" s="1307"/>
      <c r="D52" s="1307"/>
      <c r="E52" s="1307"/>
      <c r="F52" s="1307"/>
      <c r="G52" s="264" t="s">
        <v>2733</v>
      </c>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row>
    <row r="53" spans="1:39" ht="15" customHeight="1">
      <c r="A53" s="264"/>
      <c r="B53" s="264"/>
      <c r="C53" s="264"/>
      <c r="D53" s="264"/>
      <c r="E53" s="264"/>
      <c r="F53" s="264"/>
      <c r="G53" s="264" t="s">
        <v>2734</v>
      </c>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row>
    <row r="54" spans="1:39" ht="15" customHeight="1">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row>
    <row r="55" spans="1:39" ht="15" customHeight="1">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row>
    <row r="56" spans="1:39" ht="15" customHeight="1">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row>
    <row r="57" spans="1:39" ht="15" customHeight="1">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row>
    <row r="58" spans="1:39" ht="15" customHeight="1">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row>
    <row r="59" spans="1:39" ht="15" customHeight="1">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row>
    <row r="60" spans="1:39" ht="15" customHeight="1">
      <c r="A60" s="265" t="s">
        <v>2735</v>
      </c>
    </row>
    <row r="61" spans="1:39" ht="15" customHeight="1">
      <c r="A61" s="265" t="s">
        <v>2736</v>
      </c>
    </row>
    <row r="63" spans="1:39" ht="15" customHeight="1">
      <c r="AH63" s="266" t="s">
        <v>2737</v>
      </c>
    </row>
    <row r="64" spans="1:39" ht="15" customHeight="1">
      <c r="V64" s="243" t="s">
        <v>2738</v>
      </c>
    </row>
    <row r="65" spans="22:22" ht="15" customHeight="1">
      <c r="V65" s="243" t="s">
        <v>2739</v>
      </c>
    </row>
  </sheetData>
  <mergeCells count="4">
    <mergeCell ref="AL2:AR3"/>
    <mergeCell ref="AT2:CH3"/>
    <mergeCell ref="B51:F51"/>
    <mergeCell ref="B52:F52"/>
  </mergeCells>
  <phoneticPr fontId="139"/>
  <pageMargins left="0.7" right="0.7" top="0.75" bottom="0.75" header="0.3" footer="0.3"/>
  <pageSetup paperSize="9" scale="54"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2:CZ159"/>
  <sheetViews>
    <sheetView zoomScaleNormal="100" workbookViewId="0"/>
  </sheetViews>
  <sheetFormatPr defaultColWidth="2.125" defaultRowHeight="7.5" customHeight="1"/>
  <cols>
    <col min="1" max="76" width="2.125" style="268" customWidth="1"/>
    <col min="77" max="77" width="2.125" style="270" customWidth="1"/>
    <col min="78" max="78" width="2.125" style="268" customWidth="1"/>
    <col min="79" max="16384" width="2.125" style="268"/>
  </cols>
  <sheetData>
    <row r="2" spans="1:104" ht="14.25">
      <c r="A2" s="1332" t="s">
        <v>2740</v>
      </c>
      <c r="B2" s="1332"/>
      <c r="C2" s="1332"/>
      <c r="D2" s="1332"/>
      <c r="E2" s="1332"/>
      <c r="F2" s="1332"/>
      <c r="G2" s="1332"/>
      <c r="H2" s="267"/>
      <c r="I2" s="1320" t="s">
        <v>2741</v>
      </c>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0"/>
      <c r="AO2" s="1320"/>
      <c r="AP2" s="1320"/>
      <c r="AQ2" s="1320"/>
      <c r="AR2" s="1320"/>
      <c r="AS2" s="1320"/>
      <c r="AT2" s="1320"/>
      <c r="AU2" s="1320"/>
      <c r="AV2" s="1320"/>
      <c r="AW2" s="1320"/>
      <c r="AX2" s="1320"/>
      <c r="AY2" s="1320"/>
      <c r="AZ2" s="1320"/>
      <c r="BC2" s="1332" t="s">
        <v>2742</v>
      </c>
      <c r="BD2" s="1332"/>
      <c r="BE2" s="1332"/>
      <c r="BF2" s="1332"/>
      <c r="BG2" s="1332"/>
      <c r="BH2" s="1332"/>
      <c r="BI2" s="1332"/>
      <c r="BJ2" s="1332"/>
      <c r="BK2" s="267"/>
      <c r="BL2" s="1320" t="s">
        <v>2743</v>
      </c>
      <c r="BM2" s="1320"/>
      <c r="BN2" s="1320"/>
      <c r="BO2" s="1320"/>
      <c r="BP2" s="1320"/>
      <c r="BQ2" s="1320"/>
      <c r="BR2" s="1320"/>
      <c r="BS2" s="1320"/>
      <c r="BT2" s="1320"/>
      <c r="BU2" s="1320"/>
      <c r="BV2" s="1320"/>
      <c r="BW2" s="1320"/>
      <c r="BX2" s="1320"/>
      <c r="BY2" s="1320"/>
      <c r="BZ2" s="1320"/>
      <c r="CA2" s="1320"/>
      <c r="CB2" s="1320"/>
      <c r="CC2" s="1320"/>
      <c r="CD2" s="1320"/>
      <c r="CE2" s="1320"/>
      <c r="CF2" s="1320"/>
      <c r="CG2" s="1320"/>
      <c r="CH2" s="1320"/>
      <c r="CI2" s="1320"/>
      <c r="CJ2" s="1320"/>
      <c r="CK2" s="1320"/>
      <c r="CL2" s="1320"/>
      <c r="CM2" s="1320"/>
      <c r="CN2" s="1320"/>
      <c r="CO2" s="1320"/>
      <c r="CP2" s="1320"/>
      <c r="CQ2" s="1320"/>
      <c r="CR2" s="1320"/>
      <c r="CS2" s="1320"/>
      <c r="CT2" s="1320"/>
      <c r="CU2" s="1320"/>
      <c r="CV2" s="1320"/>
      <c r="CW2" s="1320"/>
      <c r="CX2" s="1320"/>
      <c r="CY2" s="1320"/>
      <c r="CZ2" s="1320"/>
    </row>
    <row r="3" spans="1:104" ht="14.25">
      <c r="A3" s="1332"/>
      <c r="B3" s="1332"/>
      <c r="C3" s="1332"/>
      <c r="D3" s="1332"/>
      <c r="E3" s="1332"/>
      <c r="F3" s="1332"/>
      <c r="G3" s="1332"/>
      <c r="H3" s="267"/>
      <c r="I3" s="1320"/>
      <c r="J3" s="1320"/>
      <c r="K3" s="1320"/>
      <c r="L3" s="1320"/>
      <c r="M3" s="1320"/>
      <c r="N3" s="1320"/>
      <c r="O3" s="1320"/>
      <c r="P3" s="1320"/>
      <c r="Q3" s="1320"/>
      <c r="R3" s="1320"/>
      <c r="S3" s="1320"/>
      <c r="T3" s="1320"/>
      <c r="U3" s="1320"/>
      <c r="V3" s="1320"/>
      <c r="W3" s="1320"/>
      <c r="X3" s="1320"/>
      <c r="Y3" s="1320"/>
      <c r="Z3" s="1320"/>
      <c r="AA3" s="1320"/>
      <c r="AB3" s="1320"/>
      <c r="AC3" s="1320"/>
      <c r="AD3" s="1320"/>
      <c r="AE3" s="1320"/>
      <c r="AF3" s="1320"/>
      <c r="AG3" s="1320"/>
      <c r="AH3" s="1320"/>
      <c r="AI3" s="1320"/>
      <c r="AJ3" s="1320"/>
      <c r="AK3" s="1320"/>
      <c r="AL3" s="1320"/>
      <c r="AM3" s="1320"/>
      <c r="AN3" s="1320"/>
      <c r="AO3" s="1320"/>
      <c r="AP3" s="1320"/>
      <c r="AQ3" s="1320"/>
      <c r="AR3" s="1320"/>
      <c r="AS3" s="1320"/>
      <c r="AT3" s="1320"/>
      <c r="AU3" s="1320"/>
      <c r="AV3" s="1320"/>
      <c r="AW3" s="1320"/>
      <c r="AX3" s="1320"/>
      <c r="AY3" s="1320"/>
      <c r="AZ3" s="1320"/>
      <c r="BC3" s="1332"/>
      <c r="BD3" s="1332"/>
      <c r="BE3" s="1332"/>
      <c r="BF3" s="1332"/>
      <c r="BG3" s="1332"/>
      <c r="BH3" s="1332"/>
      <c r="BI3" s="1332"/>
      <c r="BJ3" s="1332"/>
      <c r="BK3" s="267"/>
      <c r="BL3" s="1320"/>
      <c r="BM3" s="1320"/>
      <c r="BN3" s="1320"/>
      <c r="BO3" s="1320"/>
      <c r="BP3" s="1320"/>
      <c r="BQ3" s="1320"/>
      <c r="BR3" s="1320"/>
      <c r="BS3" s="1320"/>
      <c r="BT3" s="1320"/>
      <c r="BU3" s="1320"/>
      <c r="BV3" s="1320"/>
      <c r="BW3" s="1320"/>
      <c r="BX3" s="1320"/>
      <c r="BY3" s="1320"/>
      <c r="BZ3" s="1320"/>
      <c r="CA3" s="1320"/>
      <c r="CB3" s="1320"/>
      <c r="CC3" s="1320"/>
      <c r="CD3" s="1320"/>
      <c r="CE3" s="1320"/>
      <c r="CF3" s="1320"/>
      <c r="CG3" s="1320"/>
      <c r="CH3" s="1320"/>
      <c r="CI3" s="1320"/>
      <c r="CJ3" s="1320"/>
      <c r="CK3" s="1320"/>
      <c r="CL3" s="1320"/>
      <c r="CM3" s="1320"/>
      <c r="CN3" s="1320"/>
      <c r="CO3" s="1320"/>
      <c r="CP3" s="1320"/>
      <c r="CQ3" s="1320"/>
      <c r="CR3" s="1320"/>
      <c r="CS3" s="1320"/>
      <c r="CT3" s="1320"/>
      <c r="CU3" s="1320"/>
      <c r="CV3" s="1320"/>
      <c r="CW3" s="1320"/>
      <c r="CX3" s="1320"/>
      <c r="CY3" s="1320"/>
      <c r="CZ3" s="1320"/>
    </row>
    <row r="4" spans="1:104" ht="20.25" thickBot="1">
      <c r="A4" s="269"/>
      <c r="B4" s="269"/>
      <c r="C4" s="269"/>
      <c r="D4" s="269"/>
      <c r="E4" s="269"/>
      <c r="F4" s="269"/>
      <c r="G4" s="269"/>
      <c r="H4" s="267"/>
    </row>
    <row r="5" spans="1:104" ht="20.25" thickTop="1">
      <c r="A5" s="269"/>
      <c r="B5" s="269"/>
      <c r="C5" s="1333" t="s">
        <v>2712</v>
      </c>
      <c r="D5" s="1334"/>
      <c r="E5" s="1334"/>
      <c r="F5" s="1334"/>
      <c r="G5" s="1334"/>
      <c r="H5" s="1334"/>
      <c r="I5" s="1334"/>
      <c r="J5" s="1334"/>
      <c r="K5" s="1335"/>
      <c r="M5" s="1342" t="s">
        <v>2744</v>
      </c>
      <c r="N5" s="1343"/>
      <c r="O5" s="1343"/>
      <c r="P5" s="1343"/>
      <c r="Q5" s="1343"/>
      <c r="R5" s="1343"/>
      <c r="S5" s="1343"/>
      <c r="T5" s="1343"/>
      <c r="U5" s="1344"/>
      <c r="W5" s="1350" t="s">
        <v>2745</v>
      </c>
      <c r="X5" s="1351"/>
      <c r="Y5" s="1351"/>
      <c r="Z5" s="1351"/>
      <c r="AA5" s="1351"/>
      <c r="AB5" s="1351"/>
      <c r="AC5" s="1351"/>
      <c r="AD5" s="1351"/>
      <c r="AE5" s="1352"/>
      <c r="AG5" s="1333" t="s">
        <v>2746</v>
      </c>
      <c r="AH5" s="1334"/>
      <c r="AI5" s="1334"/>
      <c r="AJ5" s="1334"/>
      <c r="AK5" s="1334"/>
      <c r="AL5" s="1334"/>
      <c r="AM5" s="1334"/>
      <c r="AN5" s="1334"/>
      <c r="AO5" s="1335"/>
      <c r="BY5" s="268"/>
    </row>
    <row r="6" spans="1:104" ht="19.5">
      <c r="A6" s="269"/>
      <c r="B6" s="269"/>
      <c r="C6" s="1336"/>
      <c r="D6" s="1337"/>
      <c r="E6" s="1337"/>
      <c r="F6" s="1337"/>
      <c r="G6" s="1337"/>
      <c r="H6" s="1337"/>
      <c r="I6" s="1337"/>
      <c r="J6" s="1337"/>
      <c r="K6" s="1338"/>
      <c r="M6" s="1345"/>
      <c r="N6" s="1312"/>
      <c r="O6" s="1312"/>
      <c r="P6" s="1312"/>
      <c r="Q6" s="1312"/>
      <c r="R6" s="1312"/>
      <c r="S6" s="1312"/>
      <c r="T6" s="1312"/>
      <c r="U6" s="1346"/>
      <c r="W6" s="1353"/>
      <c r="X6" s="1354"/>
      <c r="Y6" s="1354"/>
      <c r="Z6" s="1354"/>
      <c r="AA6" s="1354"/>
      <c r="AB6" s="1354"/>
      <c r="AC6" s="1354"/>
      <c r="AD6" s="1354"/>
      <c r="AE6" s="1355"/>
      <c r="AG6" s="1336"/>
      <c r="AH6" s="1337"/>
      <c r="AI6" s="1337"/>
      <c r="AJ6" s="1337"/>
      <c r="AK6" s="1337"/>
      <c r="AL6" s="1337"/>
      <c r="AM6" s="1337"/>
      <c r="AN6" s="1337"/>
      <c r="AO6" s="1338"/>
      <c r="BY6" s="268"/>
    </row>
    <row r="7" spans="1:104" ht="20.25" thickBot="1">
      <c r="A7" s="269"/>
      <c r="B7" s="269"/>
      <c r="C7" s="1339"/>
      <c r="D7" s="1340"/>
      <c r="E7" s="1340"/>
      <c r="F7" s="1340"/>
      <c r="G7" s="1340"/>
      <c r="H7" s="1340"/>
      <c r="I7" s="1340"/>
      <c r="J7" s="1340"/>
      <c r="K7" s="1341"/>
      <c r="M7" s="1347"/>
      <c r="N7" s="1348"/>
      <c r="O7" s="1348"/>
      <c r="P7" s="1348"/>
      <c r="Q7" s="1348"/>
      <c r="R7" s="1348"/>
      <c r="S7" s="1348"/>
      <c r="T7" s="1348"/>
      <c r="U7" s="1349"/>
      <c r="W7" s="1356"/>
      <c r="X7" s="1357"/>
      <c r="Y7" s="1357"/>
      <c r="Z7" s="1357"/>
      <c r="AA7" s="1357"/>
      <c r="AB7" s="1357"/>
      <c r="AC7" s="1357"/>
      <c r="AD7" s="1357"/>
      <c r="AE7" s="1358"/>
      <c r="AG7" s="1339"/>
      <c r="AH7" s="1340"/>
      <c r="AI7" s="1340"/>
      <c r="AJ7" s="1340"/>
      <c r="AK7" s="1340"/>
      <c r="AL7" s="1340"/>
      <c r="AM7" s="1340"/>
      <c r="AN7" s="1340"/>
      <c r="AO7" s="1341"/>
      <c r="BC7" s="1359" t="s">
        <v>2747</v>
      </c>
      <c r="BD7" s="1359"/>
      <c r="BE7" s="1359"/>
      <c r="BF7" s="1359"/>
      <c r="BG7" s="1359"/>
      <c r="BH7" s="1359"/>
      <c r="BI7" s="1359"/>
      <c r="BJ7" s="1360"/>
      <c r="BK7" s="1360"/>
      <c r="BL7" s="1360"/>
      <c r="BM7" s="1360"/>
      <c r="BN7" s="1360"/>
      <c r="BO7" s="1360"/>
      <c r="BP7" s="1360"/>
      <c r="BQ7" s="1360"/>
      <c r="BR7" s="1360"/>
      <c r="BS7" s="1360"/>
      <c r="BT7" s="1360"/>
      <c r="BU7" s="1360"/>
      <c r="BV7" s="1360"/>
      <c r="BW7" s="1360"/>
      <c r="BX7" s="1360"/>
    </row>
    <row r="8" spans="1:104" ht="15" thickTop="1">
      <c r="A8" s="271"/>
      <c r="B8" s="271"/>
      <c r="C8" s="271"/>
      <c r="D8" s="271"/>
      <c r="E8" s="271"/>
      <c r="F8" s="271"/>
      <c r="G8" s="271"/>
      <c r="H8" s="267"/>
      <c r="BC8" s="1359"/>
      <c r="BD8" s="1359"/>
      <c r="BE8" s="1359"/>
      <c r="BF8" s="1359"/>
      <c r="BG8" s="1359"/>
      <c r="BH8" s="1359"/>
      <c r="BI8" s="1359"/>
      <c r="BJ8" s="1360"/>
      <c r="BK8" s="1360"/>
      <c r="BL8" s="1360"/>
      <c r="BM8" s="1360"/>
      <c r="BN8" s="1360"/>
      <c r="BO8" s="1360"/>
      <c r="BP8" s="1360"/>
      <c r="BQ8" s="1360"/>
      <c r="BR8" s="1360"/>
      <c r="BS8" s="1360"/>
      <c r="BT8" s="1360"/>
      <c r="BU8" s="1360"/>
      <c r="BV8" s="1360"/>
      <c r="BW8" s="1360"/>
      <c r="BX8" s="1360"/>
    </row>
    <row r="9" spans="1:104" ht="15" thickBot="1"/>
    <row r="10" spans="1:104" ht="15.75" thickTop="1" thickBot="1">
      <c r="C10" s="1308" t="s">
        <v>2748</v>
      </c>
      <c r="D10" s="1309"/>
      <c r="E10" s="1309"/>
      <c r="F10" s="1309"/>
      <c r="G10" s="1309"/>
      <c r="H10" s="1309"/>
      <c r="I10" s="1309"/>
      <c r="J10" s="1309"/>
      <c r="K10" s="1310"/>
    </row>
    <row r="11" spans="1:104" ht="15" thickTop="1">
      <c r="C11" s="1311"/>
      <c r="D11" s="1312"/>
      <c r="E11" s="1312"/>
      <c r="F11" s="1312"/>
      <c r="G11" s="1312"/>
      <c r="H11" s="1312"/>
      <c r="I11" s="1312"/>
      <c r="J11" s="1312"/>
      <c r="K11" s="1313"/>
      <c r="L11" s="267"/>
      <c r="M11" s="267"/>
      <c r="N11" s="267"/>
      <c r="BC11" s="1317" t="s">
        <v>18</v>
      </c>
      <c r="BD11" s="1318"/>
      <c r="BE11" s="1318"/>
      <c r="BF11" s="1318"/>
      <c r="BG11" s="1318"/>
      <c r="BH11" s="1318"/>
      <c r="BI11" s="1318"/>
      <c r="BJ11" s="1321"/>
      <c r="BK11" s="1321"/>
      <c r="BL11" s="1321"/>
      <c r="BM11" s="1321"/>
      <c r="BN11" s="1321"/>
      <c r="BO11" s="1321"/>
      <c r="BP11" s="1321"/>
      <c r="BQ11" s="1321"/>
      <c r="BR11" s="1321"/>
      <c r="BS11" s="1321"/>
      <c r="BT11" s="1321"/>
      <c r="BU11" s="1321"/>
      <c r="BV11" s="1321"/>
      <c r="BW11" s="1321"/>
      <c r="BX11" s="1321"/>
      <c r="BY11" s="1323" t="s">
        <v>2749</v>
      </c>
      <c r="BZ11" s="1323"/>
      <c r="CA11" s="1323"/>
      <c r="CB11" s="1323"/>
      <c r="CC11" s="1323"/>
      <c r="CD11" s="1323"/>
      <c r="CE11" s="1323"/>
      <c r="CF11" s="1323"/>
      <c r="CG11" s="1323"/>
      <c r="CH11" s="1323"/>
      <c r="CI11" s="1323"/>
      <c r="CJ11" s="1323"/>
      <c r="CK11" s="1323"/>
      <c r="CL11" s="1323"/>
      <c r="CM11" s="1323"/>
      <c r="CN11" s="1323"/>
      <c r="CO11" s="1323"/>
      <c r="CP11" s="1323"/>
      <c r="CQ11" s="1323"/>
      <c r="CR11" s="1323"/>
      <c r="CS11" s="1323"/>
      <c r="CT11" s="1323"/>
      <c r="CU11" s="1323"/>
      <c r="CV11" s="1323"/>
      <c r="CW11" s="1323"/>
      <c r="CX11" s="1324"/>
    </row>
    <row r="12" spans="1:104" ht="15" thickBot="1">
      <c r="C12" s="1314"/>
      <c r="D12" s="1315"/>
      <c r="E12" s="1315"/>
      <c r="F12" s="1315"/>
      <c r="G12" s="1315"/>
      <c r="H12" s="1315"/>
      <c r="I12" s="1315"/>
      <c r="J12" s="1315"/>
      <c r="K12" s="1316"/>
      <c r="L12" s="267"/>
      <c r="M12" s="267"/>
      <c r="N12" s="267"/>
      <c r="BC12" s="1319"/>
      <c r="BD12" s="1320"/>
      <c r="BE12" s="1320"/>
      <c r="BF12" s="1320"/>
      <c r="BG12" s="1320"/>
      <c r="BH12" s="1320"/>
      <c r="BI12" s="1320"/>
      <c r="BJ12" s="1322"/>
      <c r="BK12" s="1322"/>
      <c r="BL12" s="1322"/>
      <c r="BM12" s="1322"/>
      <c r="BN12" s="1322"/>
      <c r="BO12" s="1322"/>
      <c r="BP12" s="1322"/>
      <c r="BQ12" s="1322"/>
      <c r="BR12" s="1322"/>
      <c r="BS12" s="1322"/>
      <c r="BT12" s="1322"/>
      <c r="BU12" s="1322"/>
      <c r="BV12" s="1322"/>
      <c r="BW12" s="1322"/>
      <c r="BX12" s="1322"/>
      <c r="BY12" s="1325"/>
      <c r="BZ12" s="1325"/>
      <c r="CA12" s="1325"/>
      <c r="CB12" s="1325"/>
      <c r="CC12" s="1325"/>
      <c r="CD12" s="1325"/>
      <c r="CE12" s="1325"/>
      <c r="CF12" s="1325"/>
      <c r="CG12" s="1325"/>
      <c r="CH12" s="1325"/>
      <c r="CI12" s="1325"/>
      <c r="CJ12" s="1325"/>
      <c r="CK12" s="1325"/>
      <c r="CL12" s="1325"/>
      <c r="CM12" s="1325"/>
      <c r="CN12" s="1325"/>
      <c r="CO12" s="1325"/>
      <c r="CP12" s="1325"/>
      <c r="CQ12" s="1325"/>
      <c r="CR12" s="1325"/>
      <c r="CS12" s="1325"/>
      <c r="CT12" s="1325"/>
      <c r="CU12" s="1325"/>
      <c r="CV12" s="1325"/>
      <c r="CW12" s="1325"/>
      <c r="CX12" s="1326"/>
    </row>
    <row r="13" spans="1:104" ht="15" thickTop="1">
      <c r="D13" s="272"/>
      <c r="E13" s="273"/>
      <c r="BC13" s="1327" t="s">
        <v>2750</v>
      </c>
      <c r="BD13" s="1328"/>
      <c r="BE13" s="1328"/>
      <c r="BF13" s="1328"/>
      <c r="BG13" s="1328"/>
      <c r="BH13" s="1328"/>
      <c r="BI13" s="1328"/>
      <c r="BJ13" s="1329"/>
      <c r="BK13" s="1329"/>
      <c r="BL13" s="1329"/>
      <c r="BM13" s="1329"/>
      <c r="BN13" s="1329"/>
      <c r="BO13" s="1329"/>
      <c r="BP13" s="1329"/>
      <c r="BQ13" s="1329"/>
      <c r="BR13" s="1329"/>
      <c r="BS13" s="1329"/>
      <c r="BT13" s="1329"/>
      <c r="BU13" s="1329"/>
      <c r="BV13" s="1329"/>
      <c r="BW13" s="1329"/>
      <c r="BX13" s="1329"/>
      <c r="BY13" s="1330" t="s">
        <v>2751</v>
      </c>
      <c r="BZ13" s="1330"/>
      <c r="CA13" s="1330"/>
      <c r="CB13" s="1330"/>
      <c r="CC13" s="1330"/>
      <c r="CD13" s="1330"/>
      <c r="CE13" s="1330"/>
      <c r="CF13" s="1330"/>
      <c r="CG13" s="1330"/>
      <c r="CH13" s="1330"/>
      <c r="CI13" s="1330"/>
      <c r="CJ13" s="1330"/>
      <c r="CK13" s="1330"/>
      <c r="CL13" s="1330"/>
      <c r="CM13" s="1330"/>
      <c r="CN13" s="1330"/>
      <c r="CO13" s="1330"/>
      <c r="CP13" s="1330"/>
      <c r="CQ13" s="1330"/>
      <c r="CR13" s="1330"/>
      <c r="CS13" s="1330"/>
      <c r="CT13" s="1330"/>
      <c r="CU13" s="1330"/>
      <c r="CV13" s="1330"/>
      <c r="CW13" s="1330"/>
      <c r="CX13" s="1331"/>
    </row>
    <row r="14" spans="1:104" ht="14.25">
      <c r="D14" s="273"/>
      <c r="E14" s="273"/>
      <c r="F14" s="267"/>
      <c r="BC14" s="1327"/>
      <c r="BD14" s="1328"/>
      <c r="BE14" s="1328"/>
      <c r="BF14" s="1328"/>
      <c r="BG14" s="1328"/>
      <c r="BH14" s="1328"/>
      <c r="BI14" s="1328"/>
      <c r="BJ14" s="1329"/>
      <c r="BK14" s="1329"/>
      <c r="BL14" s="1329"/>
      <c r="BM14" s="1329"/>
      <c r="BN14" s="1329"/>
      <c r="BO14" s="1329"/>
      <c r="BP14" s="1329"/>
      <c r="BQ14" s="1329"/>
      <c r="BR14" s="1329"/>
      <c r="BS14" s="1329"/>
      <c r="BT14" s="1329"/>
      <c r="BU14" s="1329"/>
      <c r="BV14" s="1329"/>
      <c r="BW14" s="1329"/>
      <c r="BX14" s="1329"/>
      <c r="BY14" s="1330"/>
      <c r="BZ14" s="1330"/>
      <c r="CA14" s="1330"/>
      <c r="CB14" s="1330"/>
      <c r="CC14" s="1330"/>
      <c r="CD14" s="1330"/>
      <c r="CE14" s="1330"/>
      <c r="CF14" s="1330"/>
      <c r="CG14" s="1330"/>
      <c r="CH14" s="1330"/>
      <c r="CI14" s="1330"/>
      <c r="CJ14" s="1330"/>
      <c r="CK14" s="1330"/>
      <c r="CL14" s="1330"/>
      <c r="CM14" s="1330"/>
      <c r="CN14" s="1330"/>
      <c r="CO14" s="1330"/>
      <c r="CP14" s="1330"/>
      <c r="CQ14" s="1330"/>
      <c r="CR14" s="1330"/>
      <c r="CS14" s="1330"/>
      <c r="CT14" s="1330"/>
      <c r="CU14" s="1330"/>
      <c r="CV14" s="1330"/>
      <c r="CW14" s="1330"/>
      <c r="CX14" s="1331"/>
    </row>
    <row r="15" spans="1:104" ht="14.25">
      <c r="D15" s="273"/>
      <c r="E15" s="274"/>
      <c r="F15" s="1376" t="s">
        <v>2752</v>
      </c>
      <c r="G15" s="1377"/>
      <c r="H15" s="1377"/>
      <c r="I15" s="1377"/>
      <c r="J15" s="1377"/>
      <c r="K15" s="1377"/>
      <c r="L15" s="1377"/>
      <c r="M15" s="1377"/>
      <c r="N15" s="1377"/>
      <c r="O15" s="1377"/>
      <c r="P15" s="1377"/>
      <c r="Q15" s="1377"/>
      <c r="R15" s="1377"/>
      <c r="S15" s="1377"/>
      <c r="T15" s="1377"/>
      <c r="U15" s="1377"/>
      <c r="V15" s="1377"/>
      <c r="W15" s="1377"/>
      <c r="X15" s="1377"/>
      <c r="Y15" s="1377"/>
      <c r="Z15" s="1378"/>
      <c r="AB15" s="1368" t="s">
        <v>2753</v>
      </c>
      <c r="AC15" s="1368"/>
      <c r="AD15" s="1368"/>
      <c r="AE15" s="1368"/>
      <c r="AF15" s="1368"/>
      <c r="AG15" s="1368"/>
      <c r="AH15" s="1368"/>
      <c r="AI15" s="1368"/>
      <c r="AJ15" s="1368"/>
      <c r="AK15" s="1368"/>
      <c r="AL15" s="1368"/>
      <c r="AM15" s="1368"/>
      <c r="AN15" s="1368"/>
      <c r="AO15" s="1368"/>
      <c r="AP15" s="1368"/>
      <c r="AQ15" s="1368"/>
      <c r="AR15" s="1368"/>
      <c r="AS15" s="1368"/>
      <c r="AT15" s="1368"/>
      <c r="AU15" s="1368"/>
      <c r="AV15" s="275"/>
      <c r="AW15" s="275"/>
      <c r="AX15" s="275"/>
      <c r="AY15" s="275"/>
      <c r="BC15" s="1327" t="s">
        <v>22</v>
      </c>
      <c r="BD15" s="1328"/>
      <c r="BE15" s="1328"/>
      <c r="BF15" s="1328"/>
      <c r="BG15" s="1328"/>
      <c r="BH15" s="1328"/>
      <c r="BI15" s="1328"/>
      <c r="BJ15" s="1361"/>
      <c r="BK15" s="1361"/>
      <c r="BL15" s="1361"/>
      <c r="BM15" s="1361"/>
      <c r="BN15" s="1361"/>
      <c r="BO15" s="1361"/>
      <c r="BP15" s="1361"/>
      <c r="BQ15" s="1361"/>
      <c r="BR15" s="1361"/>
      <c r="BS15" s="1361"/>
      <c r="BT15" s="1361"/>
      <c r="BU15" s="1361"/>
      <c r="BV15" s="1361"/>
      <c r="BW15" s="1361"/>
      <c r="BX15" s="1361"/>
      <c r="BY15" s="1330" t="s">
        <v>2754</v>
      </c>
      <c r="BZ15" s="1330"/>
      <c r="CA15" s="1330"/>
      <c r="CB15" s="1330"/>
      <c r="CC15" s="1330"/>
      <c r="CD15" s="1330"/>
      <c r="CE15" s="1330"/>
      <c r="CF15" s="1330"/>
      <c r="CG15" s="1330"/>
      <c r="CH15" s="1330"/>
      <c r="CI15" s="1330"/>
      <c r="CJ15" s="1330"/>
      <c r="CK15" s="1330"/>
      <c r="CL15" s="1330"/>
      <c r="CM15" s="1330"/>
      <c r="CN15" s="1330"/>
      <c r="CO15" s="1330"/>
      <c r="CP15" s="1330"/>
      <c r="CQ15" s="1330"/>
      <c r="CR15" s="1330"/>
      <c r="CS15" s="1330"/>
      <c r="CT15" s="1330"/>
      <c r="CU15" s="1330"/>
      <c r="CV15" s="1330"/>
      <c r="CW15" s="1330"/>
      <c r="CX15" s="1331"/>
    </row>
    <row r="16" spans="1:104" ht="14.25">
      <c r="D16" s="273"/>
      <c r="E16" s="273"/>
      <c r="F16" s="1379"/>
      <c r="G16" s="1380"/>
      <c r="H16" s="1380"/>
      <c r="I16" s="1380"/>
      <c r="J16" s="1380"/>
      <c r="K16" s="1380"/>
      <c r="L16" s="1380"/>
      <c r="M16" s="1380"/>
      <c r="N16" s="1380"/>
      <c r="O16" s="1380"/>
      <c r="P16" s="1380"/>
      <c r="Q16" s="1380"/>
      <c r="R16" s="1380"/>
      <c r="S16" s="1380"/>
      <c r="T16" s="1380"/>
      <c r="U16" s="1380"/>
      <c r="V16" s="1380"/>
      <c r="W16" s="1380"/>
      <c r="X16" s="1380"/>
      <c r="Y16" s="1380"/>
      <c r="Z16" s="1381"/>
      <c r="AB16" s="1368"/>
      <c r="AC16" s="1368"/>
      <c r="AD16" s="1368"/>
      <c r="AE16" s="1368"/>
      <c r="AF16" s="1368"/>
      <c r="AG16" s="1368"/>
      <c r="AH16" s="1368"/>
      <c r="AI16" s="1368"/>
      <c r="AJ16" s="1368"/>
      <c r="AK16" s="1368"/>
      <c r="AL16" s="1368"/>
      <c r="AM16" s="1368"/>
      <c r="AN16" s="1368"/>
      <c r="AO16" s="1368"/>
      <c r="AP16" s="1368"/>
      <c r="AQ16" s="1368"/>
      <c r="AR16" s="1368"/>
      <c r="AS16" s="1368"/>
      <c r="AT16" s="1368"/>
      <c r="AU16" s="1368"/>
      <c r="AV16" s="275"/>
      <c r="AW16" s="275"/>
      <c r="AX16" s="275"/>
      <c r="AY16" s="275"/>
      <c r="BC16" s="1327"/>
      <c r="BD16" s="1328"/>
      <c r="BE16" s="1328"/>
      <c r="BF16" s="1328"/>
      <c r="BG16" s="1328"/>
      <c r="BH16" s="1328"/>
      <c r="BI16" s="1328"/>
      <c r="BJ16" s="1361"/>
      <c r="BK16" s="1361"/>
      <c r="BL16" s="1361"/>
      <c r="BM16" s="1361"/>
      <c r="BN16" s="1361"/>
      <c r="BO16" s="1361"/>
      <c r="BP16" s="1361"/>
      <c r="BQ16" s="1361"/>
      <c r="BR16" s="1361"/>
      <c r="BS16" s="1361"/>
      <c r="BT16" s="1361"/>
      <c r="BU16" s="1361"/>
      <c r="BV16" s="1361"/>
      <c r="BW16" s="1361"/>
      <c r="BX16" s="1361"/>
      <c r="BY16" s="1330"/>
      <c r="BZ16" s="1330"/>
      <c r="CA16" s="1330"/>
      <c r="CB16" s="1330"/>
      <c r="CC16" s="1330"/>
      <c r="CD16" s="1330"/>
      <c r="CE16" s="1330"/>
      <c r="CF16" s="1330"/>
      <c r="CG16" s="1330"/>
      <c r="CH16" s="1330"/>
      <c r="CI16" s="1330"/>
      <c r="CJ16" s="1330"/>
      <c r="CK16" s="1330"/>
      <c r="CL16" s="1330"/>
      <c r="CM16" s="1330"/>
      <c r="CN16" s="1330"/>
      <c r="CO16" s="1330"/>
      <c r="CP16" s="1330"/>
      <c r="CQ16" s="1330"/>
      <c r="CR16" s="1330"/>
      <c r="CS16" s="1330"/>
      <c r="CT16" s="1330"/>
      <c r="CU16" s="1330"/>
      <c r="CV16" s="1330"/>
      <c r="CW16" s="1330"/>
      <c r="CX16" s="1331"/>
    </row>
    <row r="17" spans="4:102" ht="14.25">
      <c r="D17" s="273"/>
      <c r="E17" s="273"/>
      <c r="BC17" s="1327" t="s">
        <v>2755</v>
      </c>
      <c r="BD17" s="1328"/>
      <c r="BE17" s="1328"/>
      <c r="BF17" s="1328"/>
      <c r="BG17" s="1328"/>
      <c r="BH17" s="1328"/>
      <c r="BI17" s="1328"/>
      <c r="BJ17" s="1361"/>
      <c r="BK17" s="1361"/>
      <c r="BL17" s="1361"/>
      <c r="BM17" s="1361"/>
      <c r="BN17" s="1361"/>
      <c r="BO17" s="1361"/>
      <c r="BP17" s="1361"/>
      <c r="BQ17" s="1361"/>
      <c r="BR17" s="1361"/>
      <c r="BS17" s="1361"/>
      <c r="BT17" s="1361"/>
      <c r="BU17" s="1361"/>
      <c r="BV17" s="1361"/>
      <c r="BW17" s="1361"/>
      <c r="BX17" s="1361"/>
      <c r="BY17" s="1330"/>
      <c r="BZ17" s="1330"/>
      <c r="CA17" s="1330"/>
      <c r="CB17" s="1330"/>
      <c r="CC17" s="1330"/>
      <c r="CD17" s="1330"/>
      <c r="CE17" s="1330"/>
      <c r="CF17" s="1330"/>
      <c r="CG17" s="1330"/>
      <c r="CH17" s="1330"/>
      <c r="CI17" s="1330"/>
      <c r="CJ17" s="1330"/>
      <c r="CK17" s="1330"/>
      <c r="CL17" s="1330"/>
      <c r="CM17" s="1330"/>
      <c r="CN17" s="1330"/>
      <c r="CO17" s="1330"/>
      <c r="CP17" s="1330"/>
      <c r="CQ17" s="1330"/>
      <c r="CR17" s="1330"/>
      <c r="CS17" s="1330"/>
      <c r="CT17" s="1330"/>
      <c r="CU17" s="1330"/>
      <c r="CV17" s="1330"/>
      <c r="CW17" s="1330"/>
      <c r="CX17" s="1331"/>
    </row>
    <row r="18" spans="4:102" ht="14.25">
      <c r="D18" s="273"/>
      <c r="E18" s="274"/>
      <c r="F18" s="1362" t="s">
        <v>2756</v>
      </c>
      <c r="G18" s="1363"/>
      <c r="H18" s="1363"/>
      <c r="I18" s="1363"/>
      <c r="J18" s="1363"/>
      <c r="K18" s="1363"/>
      <c r="L18" s="1363"/>
      <c r="M18" s="1363"/>
      <c r="N18" s="1363"/>
      <c r="O18" s="1363"/>
      <c r="P18" s="1363"/>
      <c r="Q18" s="1364"/>
      <c r="S18" s="1368" t="s">
        <v>2757</v>
      </c>
      <c r="T18" s="1368"/>
      <c r="U18" s="1368"/>
      <c r="V18" s="1368"/>
      <c r="W18" s="1368"/>
      <c r="X18" s="1368"/>
      <c r="Y18" s="1368"/>
      <c r="Z18" s="1368"/>
      <c r="AA18" s="1368"/>
      <c r="AB18" s="1368"/>
      <c r="AC18" s="1368"/>
      <c r="AD18" s="1368"/>
      <c r="AE18" s="1368"/>
      <c r="AF18" s="1368"/>
      <c r="AG18" s="1368"/>
      <c r="AH18" s="1368"/>
      <c r="AI18" s="1368"/>
      <c r="AJ18" s="1368"/>
      <c r="AK18" s="1368"/>
      <c r="AL18" s="1368"/>
      <c r="BC18" s="1327"/>
      <c r="BD18" s="1328"/>
      <c r="BE18" s="1328"/>
      <c r="BF18" s="1328"/>
      <c r="BG18" s="1328"/>
      <c r="BH18" s="1328"/>
      <c r="BI18" s="1328"/>
      <c r="BJ18" s="1361"/>
      <c r="BK18" s="1361"/>
      <c r="BL18" s="1361"/>
      <c r="BM18" s="1361"/>
      <c r="BN18" s="1361"/>
      <c r="BO18" s="1361"/>
      <c r="BP18" s="1361"/>
      <c r="BQ18" s="1361"/>
      <c r="BR18" s="1361"/>
      <c r="BS18" s="1361"/>
      <c r="BT18" s="1361"/>
      <c r="BU18" s="1361"/>
      <c r="BV18" s="1361"/>
      <c r="BW18" s="1361"/>
      <c r="BX18" s="1361"/>
      <c r="BY18" s="1330"/>
      <c r="BZ18" s="1330"/>
      <c r="CA18" s="1330"/>
      <c r="CB18" s="1330"/>
      <c r="CC18" s="1330"/>
      <c r="CD18" s="1330"/>
      <c r="CE18" s="1330"/>
      <c r="CF18" s="1330"/>
      <c r="CG18" s="1330"/>
      <c r="CH18" s="1330"/>
      <c r="CI18" s="1330"/>
      <c r="CJ18" s="1330"/>
      <c r="CK18" s="1330"/>
      <c r="CL18" s="1330"/>
      <c r="CM18" s="1330"/>
      <c r="CN18" s="1330"/>
      <c r="CO18" s="1330"/>
      <c r="CP18" s="1330"/>
      <c r="CQ18" s="1330"/>
      <c r="CR18" s="1330"/>
      <c r="CS18" s="1330"/>
      <c r="CT18" s="1330"/>
      <c r="CU18" s="1330"/>
      <c r="CV18" s="1330"/>
      <c r="CW18" s="1330"/>
      <c r="CX18" s="1331"/>
    </row>
    <row r="19" spans="4:102" ht="14.25">
      <c r="D19" s="273"/>
      <c r="E19" s="273"/>
      <c r="F19" s="1365"/>
      <c r="G19" s="1366"/>
      <c r="H19" s="1366"/>
      <c r="I19" s="1366"/>
      <c r="J19" s="1366"/>
      <c r="K19" s="1366"/>
      <c r="L19" s="1366"/>
      <c r="M19" s="1366"/>
      <c r="N19" s="1366"/>
      <c r="O19" s="1366"/>
      <c r="P19" s="1366"/>
      <c r="Q19" s="1367"/>
      <c r="S19" s="1368"/>
      <c r="T19" s="1368"/>
      <c r="U19" s="1368"/>
      <c r="V19" s="1368"/>
      <c r="W19" s="1368"/>
      <c r="X19" s="1368"/>
      <c r="Y19" s="1368"/>
      <c r="Z19" s="1368"/>
      <c r="AA19" s="1368"/>
      <c r="AB19" s="1368"/>
      <c r="AC19" s="1368"/>
      <c r="AD19" s="1368"/>
      <c r="AE19" s="1368"/>
      <c r="AF19" s="1368"/>
      <c r="AG19" s="1368"/>
      <c r="AH19" s="1368"/>
      <c r="AI19" s="1368"/>
      <c r="AJ19" s="1368"/>
      <c r="AK19" s="1368"/>
      <c r="AL19" s="1368"/>
      <c r="BC19" s="1327" t="s">
        <v>623</v>
      </c>
      <c r="BD19" s="1328"/>
      <c r="BE19" s="1328"/>
      <c r="BF19" s="1328"/>
      <c r="BG19" s="1328"/>
      <c r="BH19" s="1328"/>
      <c r="BI19" s="1328"/>
      <c r="BJ19" s="1361"/>
      <c r="BK19" s="1361"/>
      <c r="BL19" s="1361"/>
      <c r="BM19" s="1361"/>
      <c r="BN19" s="1361"/>
      <c r="BO19" s="1361"/>
      <c r="BP19" s="1361"/>
      <c r="BQ19" s="1361"/>
      <c r="BR19" s="1361"/>
      <c r="BS19" s="1361"/>
      <c r="BT19" s="1361"/>
      <c r="BU19" s="1361"/>
      <c r="BV19" s="1361"/>
      <c r="BW19" s="1361"/>
      <c r="BX19" s="1361"/>
      <c r="BY19" s="1330" t="s">
        <v>2754</v>
      </c>
      <c r="BZ19" s="1330"/>
      <c r="CA19" s="1330"/>
      <c r="CB19" s="1330"/>
      <c r="CC19" s="1330"/>
      <c r="CD19" s="1330"/>
      <c r="CE19" s="1330"/>
      <c r="CF19" s="1330"/>
      <c r="CG19" s="1330"/>
      <c r="CH19" s="1330"/>
      <c r="CI19" s="1330"/>
      <c r="CJ19" s="1330"/>
      <c r="CK19" s="1330"/>
      <c r="CL19" s="1330"/>
      <c r="CM19" s="1330"/>
      <c r="CN19" s="1330"/>
      <c r="CO19" s="1330"/>
      <c r="CP19" s="1330"/>
      <c r="CQ19" s="1330"/>
      <c r="CR19" s="1330"/>
      <c r="CS19" s="1330"/>
      <c r="CT19" s="1330"/>
      <c r="CU19" s="1330"/>
      <c r="CV19" s="1330"/>
      <c r="CW19" s="1330"/>
      <c r="CX19" s="1331"/>
    </row>
    <row r="20" spans="4:102" ht="14.25">
      <c r="D20" s="273"/>
      <c r="E20" s="273"/>
      <c r="S20" s="275"/>
      <c r="T20" s="275"/>
      <c r="U20" s="275"/>
      <c r="V20" s="275"/>
      <c r="W20" s="275"/>
      <c r="X20" s="275"/>
      <c r="Y20" s="275"/>
      <c r="Z20" s="275"/>
      <c r="AA20" s="275"/>
      <c r="AB20" s="275"/>
      <c r="AC20" s="275"/>
      <c r="AD20" s="275"/>
      <c r="AE20" s="275"/>
      <c r="AF20" s="275"/>
      <c r="AG20" s="275"/>
      <c r="AH20" s="275"/>
      <c r="AI20" s="275"/>
      <c r="AJ20" s="275"/>
      <c r="AK20" s="275"/>
      <c r="AL20" s="275"/>
      <c r="BC20" s="1327"/>
      <c r="BD20" s="1328"/>
      <c r="BE20" s="1328"/>
      <c r="BF20" s="1328"/>
      <c r="BG20" s="1328"/>
      <c r="BH20" s="1328"/>
      <c r="BI20" s="1328"/>
      <c r="BJ20" s="1361"/>
      <c r="BK20" s="1361"/>
      <c r="BL20" s="1361"/>
      <c r="BM20" s="1361"/>
      <c r="BN20" s="1361"/>
      <c r="BO20" s="1361"/>
      <c r="BP20" s="1361"/>
      <c r="BQ20" s="1361"/>
      <c r="BR20" s="1361"/>
      <c r="BS20" s="1361"/>
      <c r="BT20" s="1361"/>
      <c r="BU20" s="1361"/>
      <c r="BV20" s="1361"/>
      <c r="BW20" s="1361"/>
      <c r="BX20" s="1361"/>
      <c r="BY20" s="1330"/>
      <c r="BZ20" s="1330"/>
      <c r="CA20" s="1330"/>
      <c r="CB20" s="1330"/>
      <c r="CC20" s="1330"/>
      <c r="CD20" s="1330"/>
      <c r="CE20" s="1330"/>
      <c r="CF20" s="1330"/>
      <c r="CG20" s="1330"/>
      <c r="CH20" s="1330"/>
      <c r="CI20" s="1330"/>
      <c r="CJ20" s="1330"/>
      <c r="CK20" s="1330"/>
      <c r="CL20" s="1330"/>
      <c r="CM20" s="1330"/>
      <c r="CN20" s="1330"/>
      <c r="CO20" s="1330"/>
      <c r="CP20" s="1330"/>
      <c r="CQ20" s="1330"/>
      <c r="CR20" s="1330"/>
      <c r="CS20" s="1330"/>
      <c r="CT20" s="1330"/>
      <c r="CU20" s="1330"/>
      <c r="CV20" s="1330"/>
      <c r="CW20" s="1330"/>
      <c r="CX20" s="1331"/>
    </row>
    <row r="21" spans="4:102" ht="14.25">
      <c r="D21" s="273"/>
      <c r="E21" s="274"/>
      <c r="F21" s="1362" t="s">
        <v>2758</v>
      </c>
      <c r="G21" s="1363"/>
      <c r="H21" s="1363"/>
      <c r="I21" s="1363"/>
      <c r="J21" s="1363"/>
      <c r="K21" s="1363"/>
      <c r="L21" s="1363"/>
      <c r="M21" s="1363"/>
      <c r="N21" s="1363"/>
      <c r="O21" s="1363"/>
      <c r="P21" s="1363"/>
      <c r="Q21" s="1364"/>
      <c r="S21" s="1368" t="s">
        <v>2759</v>
      </c>
      <c r="T21" s="1368"/>
      <c r="U21" s="1368"/>
      <c r="V21" s="1368"/>
      <c r="W21" s="1368"/>
      <c r="X21" s="1368"/>
      <c r="Y21" s="1368"/>
      <c r="Z21" s="1368"/>
      <c r="AA21" s="1368"/>
      <c r="AB21" s="1368"/>
      <c r="AC21" s="1368"/>
      <c r="AD21" s="1368"/>
      <c r="AE21" s="1368"/>
      <c r="AF21" s="1368"/>
      <c r="AG21" s="1368"/>
      <c r="AH21" s="1368"/>
      <c r="AI21" s="1368"/>
      <c r="AJ21" s="1368"/>
      <c r="AK21" s="1368"/>
      <c r="AL21" s="1368"/>
      <c r="AM21" s="276"/>
      <c r="AN21" s="276"/>
      <c r="AO21" s="276"/>
      <c r="AP21" s="276"/>
      <c r="AQ21" s="276"/>
      <c r="AR21" s="276"/>
      <c r="AS21" s="276"/>
      <c r="AT21" s="276"/>
      <c r="AU21" s="276"/>
      <c r="AV21" s="276"/>
      <c r="AW21" s="276"/>
      <c r="AX21" s="276"/>
      <c r="AY21" s="276"/>
      <c r="AZ21" s="276"/>
      <c r="BA21" s="276"/>
      <c r="BB21" s="276"/>
      <c r="BC21" s="1319" t="s">
        <v>2760</v>
      </c>
      <c r="BD21" s="1320"/>
      <c r="BE21" s="1320"/>
      <c r="BF21" s="1320"/>
      <c r="BG21" s="1320"/>
      <c r="BH21" s="1320"/>
      <c r="BI21" s="1320"/>
      <c r="BJ21" s="1371"/>
      <c r="BK21" s="1372"/>
      <c r="BL21" s="1372"/>
      <c r="BM21" s="1372"/>
      <c r="BN21" s="1372"/>
      <c r="BO21" s="1372"/>
      <c r="BP21" s="1372"/>
      <c r="BQ21" s="1372"/>
      <c r="BR21" s="1372"/>
      <c r="BS21" s="1372"/>
      <c r="BT21" s="1372"/>
      <c r="BU21" s="1372"/>
      <c r="BV21" s="1372"/>
      <c r="BW21" s="1372"/>
      <c r="BX21" s="1372"/>
      <c r="BY21" s="1330" t="s">
        <v>2761</v>
      </c>
      <c r="BZ21" s="1330"/>
      <c r="CA21" s="1330"/>
      <c r="CB21" s="1330"/>
      <c r="CC21" s="1330"/>
      <c r="CD21" s="1330"/>
      <c r="CE21" s="1330"/>
      <c r="CF21" s="1330"/>
      <c r="CG21" s="1330"/>
      <c r="CH21" s="1330"/>
      <c r="CI21" s="1330"/>
      <c r="CJ21" s="1330"/>
      <c r="CK21" s="1330"/>
      <c r="CL21" s="1330"/>
      <c r="CM21" s="1330"/>
      <c r="CN21" s="1330"/>
      <c r="CO21" s="1330"/>
      <c r="CP21" s="1330"/>
      <c r="CQ21" s="1330"/>
      <c r="CR21" s="1330"/>
      <c r="CS21" s="1330"/>
      <c r="CT21" s="1330"/>
      <c r="CU21" s="1330"/>
      <c r="CV21" s="1330"/>
      <c r="CW21" s="1330"/>
      <c r="CX21" s="1331"/>
    </row>
    <row r="22" spans="4:102" ht="15" thickBot="1">
      <c r="D22" s="273"/>
      <c r="E22" s="273"/>
      <c r="F22" s="1365"/>
      <c r="G22" s="1366"/>
      <c r="H22" s="1366"/>
      <c r="I22" s="1366"/>
      <c r="J22" s="1366"/>
      <c r="K22" s="1366"/>
      <c r="L22" s="1366"/>
      <c r="M22" s="1366"/>
      <c r="N22" s="1366"/>
      <c r="O22" s="1366"/>
      <c r="P22" s="1366"/>
      <c r="Q22" s="1367"/>
      <c r="S22" s="1368"/>
      <c r="T22" s="1368"/>
      <c r="U22" s="1368"/>
      <c r="V22" s="1368"/>
      <c r="W22" s="1368"/>
      <c r="X22" s="1368"/>
      <c r="Y22" s="1368"/>
      <c r="Z22" s="1368"/>
      <c r="AA22" s="1368"/>
      <c r="AB22" s="1368"/>
      <c r="AC22" s="1368"/>
      <c r="AD22" s="1368"/>
      <c r="AE22" s="1368"/>
      <c r="AF22" s="1368"/>
      <c r="AG22" s="1368"/>
      <c r="AH22" s="1368"/>
      <c r="AI22" s="1368"/>
      <c r="AJ22" s="1368"/>
      <c r="AK22" s="1368"/>
      <c r="AL22" s="1368"/>
      <c r="AM22" s="276"/>
      <c r="AN22" s="276"/>
      <c r="AO22" s="276"/>
      <c r="AP22" s="276"/>
      <c r="AQ22" s="276"/>
      <c r="AR22" s="276"/>
      <c r="AS22" s="276"/>
      <c r="AT22" s="276"/>
      <c r="AU22" s="276"/>
      <c r="AV22" s="276"/>
      <c r="AW22" s="276"/>
      <c r="AX22" s="276"/>
      <c r="AY22" s="276"/>
      <c r="AZ22" s="276"/>
      <c r="BA22" s="276"/>
      <c r="BB22" s="276"/>
      <c r="BC22" s="1369"/>
      <c r="BD22" s="1370"/>
      <c r="BE22" s="1370"/>
      <c r="BF22" s="1370"/>
      <c r="BG22" s="1370"/>
      <c r="BH22" s="1370"/>
      <c r="BI22" s="1370"/>
      <c r="BJ22" s="1373"/>
      <c r="BK22" s="1373"/>
      <c r="BL22" s="1373"/>
      <c r="BM22" s="1373"/>
      <c r="BN22" s="1373"/>
      <c r="BO22" s="1373"/>
      <c r="BP22" s="1373"/>
      <c r="BQ22" s="1373"/>
      <c r="BR22" s="1373"/>
      <c r="BS22" s="1373"/>
      <c r="BT22" s="1373"/>
      <c r="BU22" s="1373"/>
      <c r="BV22" s="1373"/>
      <c r="BW22" s="1373"/>
      <c r="BX22" s="1373"/>
      <c r="BY22" s="1374"/>
      <c r="BZ22" s="1374"/>
      <c r="CA22" s="1374"/>
      <c r="CB22" s="1374"/>
      <c r="CC22" s="1374"/>
      <c r="CD22" s="1374"/>
      <c r="CE22" s="1374"/>
      <c r="CF22" s="1374"/>
      <c r="CG22" s="1374"/>
      <c r="CH22" s="1374"/>
      <c r="CI22" s="1374"/>
      <c r="CJ22" s="1374"/>
      <c r="CK22" s="1374"/>
      <c r="CL22" s="1374"/>
      <c r="CM22" s="1374"/>
      <c r="CN22" s="1374"/>
      <c r="CO22" s="1374"/>
      <c r="CP22" s="1374"/>
      <c r="CQ22" s="1374"/>
      <c r="CR22" s="1374"/>
      <c r="CS22" s="1374"/>
      <c r="CT22" s="1374"/>
      <c r="CU22" s="1374"/>
      <c r="CV22" s="1374"/>
      <c r="CW22" s="1374"/>
      <c r="CX22" s="1375"/>
    </row>
    <row r="23" spans="4:102" ht="15" thickTop="1">
      <c r="D23" s="273"/>
      <c r="E23" s="273"/>
      <c r="S23" s="275"/>
      <c r="T23" s="275"/>
      <c r="U23" s="275"/>
      <c r="V23" s="275"/>
      <c r="W23" s="275"/>
      <c r="X23" s="275"/>
      <c r="Y23" s="275"/>
      <c r="Z23" s="275"/>
      <c r="AA23" s="275"/>
      <c r="AB23" s="275"/>
      <c r="AC23" s="275"/>
      <c r="AD23" s="275"/>
      <c r="AE23" s="275"/>
      <c r="AF23" s="275"/>
      <c r="AG23" s="275"/>
      <c r="AH23" s="275"/>
      <c r="AI23" s="275"/>
      <c r="AJ23" s="275"/>
      <c r="AK23" s="275"/>
      <c r="AL23" s="275"/>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row>
    <row r="24" spans="4:102" ht="15" thickBot="1">
      <c r="D24" s="273"/>
      <c r="E24" s="274"/>
      <c r="F24" s="1382" t="s">
        <v>2762</v>
      </c>
      <c r="G24" s="1383"/>
      <c r="H24" s="1383"/>
      <c r="I24" s="1383"/>
      <c r="J24" s="1383"/>
      <c r="K24" s="1383"/>
      <c r="L24" s="1383"/>
      <c r="M24" s="1383"/>
      <c r="N24" s="1383"/>
      <c r="O24" s="1383"/>
      <c r="P24" s="1383"/>
      <c r="Q24" s="1384"/>
      <c r="S24" s="1368" t="s">
        <v>2763</v>
      </c>
      <c r="T24" s="1368"/>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row>
    <row r="25" spans="4:102" ht="15" thickTop="1">
      <c r="D25" s="273"/>
      <c r="E25" s="273"/>
      <c r="F25" s="1385"/>
      <c r="G25" s="1386"/>
      <c r="H25" s="1386"/>
      <c r="I25" s="1386"/>
      <c r="J25" s="1386"/>
      <c r="K25" s="1386"/>
      <c r="L25" s="1386"/>
      <c r="M25" s="1386"/>
      <c r="N25" s="1386"/>
      <c r="O25" s="1386"/>
      <c r="P25" s="1386"/>
      <c r="Q25" s="1387"/>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8"/>
      <c r="AO25" s="1368"/>
      <c r="AP25" s="1368"/>
      <c r="AQ25" s="1368"/>
      <c r="BC25" s="1388" t="s">
        <v>2764</v>
      </c>
      <c r="BD25" s="1389"/>
      <c r="BE25" s="1389"/>
      <c r="BF25" s="1389"/>
      <c r="BG25" s="1389"/>
      <c r="BH25" s="1389"/>
      <c r="BI25" s="1389"/>
      <c r="BJ25" s="1391"/>
      <c r="BK25" s="1391"/>
      <c r="BL25" s="1391"/>
      <c r="BM25" s="1391"/>
      <c r="BN25" s="1391"/>
      <c r="BO25" s="1391"/>
      <c r="BP25" s="1391"/>
      <c r="BQ25" s="1391"/>
      <c r="BR25" s="1391"/>
      <c r="BS25" s="1391"/>
      <c r="BT25" s="1391"/>
      <c r="BU25" s="1391"/>
      <c r="BV25" s="1391"/>
      <c r="BW25" s="1391"/>
      <c r="BX25" s="1391"/>
      <c r="BY25" s="1393" t="s">
        <v>2765</v>
      </c>
      <c r="BZ25" s="1393"/>
      <c r="CA25" s="1393"/>
      <c r="CB25" s="1393"/>
      <c r="CC25" s="1393"/>
      <c r="CD25" s="1393"/>
      <c r="CE25" s="1393"/>
      <c r="CF25" s="1393"/>
      <c r="CG25" s="1393"/>
      <c r="CH25" s="1393"/>
      <c r="CI25" s="1393"/>
      <c r="CJ25" s="1393"/>
      <c r="CK25" s="1393"/>
      <c r="CL25" s="1393"/>
      <c r="CM25" s="1393"/>
      <c r="CN25" s="1393"/>
      <c r="CO25" s="1393"/>
      <c r="CP25" s="1393"/>
      <c r="CQ25" s="1393"/>
      <c r="CR25" s="1393"/>
      <c r="CS25" s="1393"/>
      <c r="CT25" s="1393"/>
      <c r="CU25" s="1393"/>
      <c r="CV25" s="1393"/>
      <c r="CW25" s="1393"/>
      <c r="CX25" s="1394"/>
    </row>
    <row r="26" spans="4:102" ht="14.25">
      <c r="D26" s="273"/>
      <c r="E26" s="273"/>
      <c r="BC26" s="1390"/>
      <c r="BD26" s="1328"/>
      <c r="BE26" s="1328"/>
      <c r="BF26" s="1328"/>
      <c r="BG26" s="1328"/>
      <c r="BH26" s="1328"/>
      <c r="BI26" s="1328"/>
      <c r="BJ26" s="1392"/>
      <c r="BK26" s="1392"/>
      <c r="BL26" s="1392"/>
      <c r="BM26" s="1392"/>
      <c r="BN26" s="1392"/>
      <c r="BO26" s="1392"/>
      <c r="BP26" s="1392"/>
      <c r="BQ26" s="1392"/>
      <c r="BR26" s="1392"/>
      <c r="BS26" s="1392"/>
      <c r="BT26" s="1392"/>
      <c r="BU26" s="1392"/>
      <c r="BV26" s="1392"/>
      <c r="BW26" s="1392"/>
      <c r="BX26" s="1392"/>
      <c r="BY26" s="1330"/>
      <c r="BZ26" s="1330"/>
      <c r="CA26" s="1330"/>
      <c r="CB26" s="1330"/>
      <c r="CC26" s="1330"/>
      <c r="CD26" s="1330"/>
      <c r="CE26" s="1330"/>
      <c r="CF26" s="1330"/>
      <c r="CG26" s="1330"/>
      <c r="CH26" s="1330"/>
      <c r="CI26" s="1330"/>
      <c r="CJ26" s="1330"/>
      <c r="CK26" s="1330"/>
      <c r="CL26" s="1330"/>
      <c r="CM26" s="1330"/>
      <c r="CN26" s="1330"/>
      <c r="CO26" s="1330"/>
      <c r="CP26" s="1330"/>
      <c r="CQ26" s="1330"/>
      <c r="CR26" s="1330"/>
      <c r="CS26" s="1330"/>
      <c r="CT26" s="1330"/>
      <c r="CU26" s="1330"/>
      <c r="CV26" s="1330"/>
      <c r="CW26" s="1330"/>
      <c r="CX26" s="1395"/>
    </row>
    <row r="27" spans="4:102" ht="14.25">
      <c r="D27" s="273"/>
      <c r="E27" s="274"/>
      <c r="F27" s="1382" t="s">
        <v>2766</v>
      </c>
      <c r="G27" s="1383"/>
      <c r="H27" s="1383"/>
      <c r="I27" s="1383"/>
      <c r="J27" s="1383"/>
      <c r="K27" s="1383"/>
      <c r="L27" s="1383"/>
      <c r="M27" s="1383"/>
      <c r="N27" s="1383"/>
      <c r="O27" s="1383"/>
      <c r="P27" s="1383"/>
      <c r="Q27" s="1384"/>
      <c r="S27" s="1368" t="s">
        <v>2763</v>
      </c>
      <c r="T27" s="1368"/>
      <c r="U27" s="1368"/>
      <c r="V27" s="1368"/>
      <c r="W27" s="1368"/>
      <c r="X27" s="1368"/>
      <c r="Y27" s="1368"/>
      <c r="Z27" s="1368"/>
      <c r="AA27" s="1368"/>
      <c r="AB27" s="1368"/>
      <c r="AC27" s="1368"/>
      <c r="AD27" s="1368"/>
      <c r="AE27" s="1368"/>
      <c r="AF27" s="1368"/>
      <c r="AG27" s="1368"/>
      <c r="AH27" s="1368"/>
      <c r="AI27" s="1368"/>
      <c r="AJ27" s="1368"/>
      <c r="AK27" s="1368"/>
      <c r="AL27" s="1368"/>
      <c r="AM27" s="1368"/>
      <c r="AN27" s="1368"/>
      <c r="AO27" s="1368"/>
      <c r="AP27" s="1368"/>
      <c r="AQ27" s="1368"/>
      <c r="BC27" s="1390" t="s">
        <v>2767</v>
      </c>
      <c r="BD27" s="1328"/>
      <c r="BE27" s="1328"/>
      <c r="BF27" s="1328"/>
      <c r="BG27" s="1328"/>
      <c r="BH27" s="1328"/>
      <c r="BI27" s="1328"/>
      <c r="BJ27" s="1392"/>
      <c r="BK27" s="1392"/>
      <c r="BL27" s="1392"/>
      <c r="BM27" s="1392"/>
      <c r="BN27" s="1392"/>
      <c r="BO27" s="1392"/>
      <c r="BP27" s="1392"/>
      <c r="BQ27" s="1392"/>
      <c r="BR27" s="1392"/>
      <c r="BS27" s="1392"/>
      <c r="BT27" s="1392"/>
      <c r="BU27" s="1392"/>
      <c r="BV27" s="1392"/>
      <c r="BW27" s="1392"/>
      <c r="BX27" s="1392"/>
      <c r="BY27" s="1330" t="s">
        <v>2765</v>
      </c>
      <c r="BZ27" s="1330"/>
      <c r="CA27" s="1330"/>
      <c r="CB27" s="1330"/>
      <c r="CC27" s="1330"/>
      <c r="CD27" s="1330"/>
      <c r="CE27" s="1330"/>
      <c r="CF27" s="1330"/>
      <c r="CG27" s="1330"/>
      <c r="CH27" s="1330"/>
      <c r="CI27" s="1330"/>
      <c r="CJ27" s="1330"/>
      <c r="CK27" s="1330"/>
      <c r="CL27" s="1330"/>
      <c r="CM27" s="1330"/>
      <c r="CN27" s="1330"/>
      <c r="CO27" s="1330"/>
      <c r="CP27" s="1330"/>
      <c r="CQ27" s="1330"/>
      <c r="CR27" s="1330"/>
      <c r="CS27" s="1330"/>
      <c r="CT27" s="1330"/>
      <c r="CU27" s="1330"/>
      <c r="CV27" s="1330"/>
      <c r="CW27" s="1330"/>
      <c r="CX27" s="1395"/>
    </row>
    <row r="28" spans="4:102" ht="14.25">
      <c r="D28" s="273"/>
      <c r="E28" s="273"/>
      <c r="F28" s="1385"/>
      <c r="G28" s="1386"/>
      <c r="H28" s="1386"/>
      <c r="I28" s="1386"/>
      <c r="J28" s="1386"/>
      <c r="K28" s="1386"/>
      <c r="L28" s="1386"/>
      <c r="M28" s="1386"/>
      <c r="N28" s="1386"/>
      <c r="O28" s="1386"/>
      <c r="P28" s="1386"/>
      <c r="Q28" s="1387"/>
      <c r="S28" s="1368"/>
      <c r="T28" s="1368"/>
      <c r="U28" s="1368"/>
      <c r="V28" s="1368"/>
      <c r="W28" s="1368"/>
      <c r="X28" s="1368"/>
      <c r="Y28" s="1368"/>
      <c r="Z28" s="1368"/>
      <c r="AA28" s="1368"/>
      <c r="AB28" s="1368"/>
      <c r="AC28" s="1368"/>
      <c r="AD28" s="1368"/>
      <c r="AE28" s="1368"/>
      <c r="AF28" s="1368"/>
      <c r="AG28" s="1368"/>
      <c r="AH28" s="1368"/>
      <c r="AI28" s="1368"/>
      <c r="AJ28" s="1368"/>
      <c r="AK28" s="1368"/>
      <c r="AL28" s="1368"/>
      <c r="AM28" s="1368"/>
      <c r="AN28" s="1368"/>
      <c r="AO28" s="1368"/>
      <c r="AP28" s="1368"/>
      <c r="AQ28" s="1368"/>
      <c r="BC28" s="1390"/>
      <c r="BD28" s="1328"/>
      <c r="BE28" s="1328"/>
      <c r="BF28" s="1328"/>
      <c r="BG28" s="1328"/>
      <c r="BH28" s="1328"/>
      <c r="BI28" s="1328"/>
      <c r="BJ28" s="1392"/>
      <c r="BK28" s="1392"/>
      <c r="BL28" s="1392"/>
      <c r="BM28" s="1392"/>
      <c r="BN28" s="1392"/>
      <c r="BO28" s="1392"/>
      <c r="BP28" s="1392"/>
      <c r="BQ28" s="1392"/>
      <c r="BR28" s="1392"/>
      <c r="BS28" s="1392"/>
      <c r="BT28" s="1392"/>
      <c r="BU28" s="1392"/>
      <c r="BV28" s="1392"/>
      <c r="BW28" s="1392"/>
      <c r="BX28" s="1392"/>
      <c r="BY28" s="1330"/>
      <c r="BZ28" s="1330"/>
      <c r="CA28" s="1330"/>
      <c r="CB28" s="1330"/>
      <c r="CC28" s="1330"/>
      <c r="CD28" s="1330"/>
      <c r="CE28" s="1330"/>
      <c r="CF28" s="1330"/>
      <c r="CG28" s="1330"/>
      <c r="CH28" s="1330"/>
      <c r="CI28" s="1330"/>
      <c r="CJ28" s="1330"/>
      <c r="CK28" s="1330"/>
      <c r="CL28" s="1330"/>
      <c r="CM28" s="1330"/>
      <c r="CN28" s="1330"/>
      <c r="CO28" s="1330"/>
      <c r="CP28" s="1330"/>
      <c r="CQ28" s="1330"/>
      <c r="CR28" s="1330"/>
      <c r="CS28" s="1330"/>
      <c r="CT28" s="1330"/>
      <c r="CU28" s="1330"/>
      <c r="CV28" s="1330"/>
      <c r="CW28" s="1330"/>
      <c r="CX28" s="1395"/>
    </row>
    <row r="29" spans="4:102" ht="14.25">
      <c r="D29" s="273"/>
      <c r="E29" s="273"/>
      <c r="BC29" s="1390" t="s">
        <v>1233</v>
      </c>
      <c r="BD29" s="1328"/>
      <c r="BE29" s="1328"/>
      <c r="BF29" s="1328"/>
      <c r="BG29" s="1328"/>
      <c r="BH29" s="1328"/>
      <c r="BI29" s="1328"/>
      <c r="BJ29" s="1396"/>
      <c r="BK29" s="1396"/>
      <c r="BL29" s="1396"/>
      <c r="BM29" s="1396"/>
      <c r="BN29" s="1396"/>
      <c r="BO29" s="1396"/>
      <c r="BP29" s="1396"/>
      <c r="BQ29" s="1396"/>
      <c r="BR29" s="1396"/>
      <c r="BS29" s="1396"/>
      <c r="BT29" s="1396"/>
      <c r="BU29" s="1396"/>
      <c r="BV29" s="1396"/>
      <c r="BW29" s="1396"/>
      <c r="BX29" s="1396"/>
      <c r="BY29" s="1330" t="s">
        <v>2768</v>
      </c>
      <c r="BZ29" s="1330"/>
      <c r="CA29" s="1330"/>
      <c r="CB29" s="1330"/>
      <c r="CC29" s="1330"/>
      <c r="CD29" s="1330"/>
      <c r="CE29" s="1330"/>
      <c r="CF29" s="1330"/>
      <c r="CG29" s="1330"/>
      <c r="CH29" s="1330"/>
      <c r="CI29" s="1330"/>
      <c r="CJ29" s="1330"/>
      <c r="CK29" s="1330"/>
      <c r="CL29" s="1330"/>
      <c r="CM29" s="1330"/>
      <c r="CN29" s="1330"/>
      <c r="CO29" s="1330"/>
      <c r="CP29" s="1330"/>
      <c r="CQ29" s="1330"/>
      <c r="CR29" s="1330"/>
      <c r="CS29" s="1330"/>
      <c r="CT29" s="1330"/>
      <c r="CU29" s="1330"/>
      <c r="CV29" s="1330"/>
      <c r="CW29" s="1330"/>
      <c r="CX29" s="1395"/>
    </row>
    <row r="30" spans="4:102" ht="14.25">
      <c r="D30" s="273"/>
      <c r="E30" s="274"/>
      <c r="F30" s="1362" t="s">
        <v>2769</v>
      </c>
      <c r="G30" s="1363"/>
      <c r="H30" s="1363"/>
      <c r="I30" s="1363"/>
      <c r="J30" s="1363"/>
      <c r="K30" s="1363"/>
      <c r="L30" s="1363"/>
      <c r="M30" s="1363"/>
      <c r="N30" s="1363"/>
      <c r="O30" s="1363"/>
      <c r="P30" s="1363"/>
      <c r="Q30" s="1364"/>
      <c r="S30" s="1368"/>
      <c r="T30" s="1368"/>
      <c r="U30" s="1368"/>
      <c r="V30" s="1368"/>
      <c r="W30" s="1368"/>
      <c r="X30" s="1368"/>
      <c r="Y30" s="1368"/>
      <c r="Z30" s="1368"/>
      <c r="AA30" s="1368"/>
      <c r="AB30" s="1368"/>
      <c r="AC30" s="1368"/>
      <c r="AD30" s="1368"/>
      <c r="AE30" s="1368"/>
      <c r="AF30" s="1368"/>
      <c r="AG30" s="1368"/>
      <c r="AH30" s="1368"/>
      <c r="AI30" s="1368"/>
      <c r="AJ30" s="1368"/>
      <c r="AK30" s="1368"/>
      <c r="AL30" s="1368"/>
      <c r="BC30" s="1390"/>
      <c r="BD30" s="1328"/>
      <c r="BE30" s="1328"/>
      <c r="BF30" s="1328"/>
      <c r="BG30" s="1328"/>
      <c r="BH30" s="1328"/>
      <c r="BI30" s="1328"/>
      <c r="BJ30" s="1396"/>
      <c r="BK30" s="1396"/>
      <c r="BL30" s="1396"/>
      <c r="BM30" s="1396"/>
      <c r="BN30" s="1396"/>
      <c r="BO30" s="1396"/>
      <c r="BP30" s="1396"/>
      <c r="BQ30" s="1396"/>
      <c r="BR30" s="1396"/>
      <c r="BS30" s="1396"/>
      <c r="BT30" s="1396"/>
      <c r="BU30" s="1396"/>
      <c r="BV30" s="1396"/>
      <c r="BW30" s="1396"/>
      <c r="BX30" s="1396"/>
      <c r="BY30" s="1330"/>
      <c r="BZ30" s="1330"/>
      <c r="CA30" s="1330"/>
      <c r="CB30" s="1330"/>
      <c r="CC30" s="1330"/>
      <c r="CD30" s="1330"/>
      <c r="CE30" s="1330"/>
      <c r="CF30" s="1330"/>
      <c r="CG30" s="1330"/>
      <c r="CH30" s="1330"/>
      <c r="CI30" s="1330"/>
      <c r="CJ30" s="1330"/>
      <c r="CK30" s="1330"/>
      <c r="CL30" s="1330"/>
      <c r="CM30" s="1330"/>
      <c r="CN30" s="1330"/>
      <c r="CO30" s="1330"/>
      <c r="CP30" s="1330"/>
      <c r="CQ30" s="1330"/>
      <c r="CR30" s="1330"/>
      <c r="CS30" s="1330"/>
      <c r="CT30" s="1330"/>
      <c r="CU30" s="1330"/>
      <c r="CV30" s="1330"/>
      <c r="CW30" s="1330"/>
      <c r="CX30" s="1395"/>
    </row>
    <row r="31" spans="4:102" ht="14.25">
      <c r="D31" s="273"/>
      <c r="E31" s="273"/>
      <c r="F31" s="1365"/>
      <c r="G31" s="1366"/>
      <c r="H31" s="1366"/>
      <c r="I31" s="1366"/>
      <c r="J31" s="1366"/>
      <c r="K31" s="1366"/>
      <c r="L31" s="1366"/>
      <c r="M31" s="1366"/>
      <c r="N31" s="1366"/>
      <c r="O31" s="1366"/>
      <c r="P31" s="1366"/>
      <c r="Q31" s="1367"/>
      <c r="S31" s="1368"/>
      <c r="T31" s="1368"/>
      <c r="U31" s="1368"/>
      <c r="V31" s="1368"/>
      <c r="W31" s="1368"/>
      <c r="X31" s="1368"/>
      <c r="Y31" s="1368"/>
      <c r="Z31" s="1368"/>
      <c r="AA31" s="1368"/>
      <c r="AB31" s="1368"/>
      <c r="AC31" s="1368"/>
      <c r="AD31" s="1368"/>
      <c r="AE31" s="1368"/>
      <c r="AF31" s="1368"/>
      <c r="AG31" s="1368"/>
      <c r="AH31" s="1368"/>
      <c r="AI31" s="1368"/>
      <c r="AJ31" s="1368"/>
      <c r="AK31" s="1368"/>
      <c r="AL31" s="1368"/>
      <c r="BC31" s="1397" t="s">
        <v>2770</v>
      </c>
      <c r="BD31" s="1398"/>
      <c r="BE31" s="1398"/>
      <c r="BF31" s="1398"/>
      <c r="BG31" s="1398"/>
      <c r="BH31" s="1398"/>
      <c r="BI31" s="1398"/>
      <c r="BJ31" s="1399" t="s">
        <v>374</v>
      </c>
      <c r="BK31" s="1401"/>
      <c r="BL31" s="1401"/>
      <c r="BM31" s="1401"/>
      <c r="BN31" s="1401"/>
      <c r="BO31" s="1401"/>
      <c r="BP31" s="1401"/>
      <c r="BQ31" s="1401"/>
      <c r="BR31" s="1401"/>
      <c r="BS31" s="1401"/>
      <c r="BT31" s="1401"/>
      <c r="BU31" s="1401"/>
      <c r="BV31" s="1401"/>
      <c r="BW31" s="1401"/>
      <c r="BX31" s="1399" t="s">
        <v>375</v>
      </c>
      <c r="BY31" s="1330" t="s">
        <v>2771</v>
      </c>
      <c r="BZ31" s="1330"/>
      <c r="CA31" s="1330"/>
      <c r="CB31" s="1330"/>
      <c r="CC31" s="1330"/>
      <c r="CD31" s="1330"/>
      <c r="CE31" s="1330"/>
      <c r="CF31" s="1330"/>
      <c r="CG31" s="1330"/>
      <c r="CH31" s="1330"/>
      <c r="CI31" s="1330"/>
      <c r="CJ31" s="1330"/>
      <c r="CK31" s="1330"/>
      <c r="CL31" s="1330"/>
      <c r="CM31" s="1330"/>
      <c r="CN31" s="1330"/>
      <c r="CO31" s="1330"/>
      <c r="CP31" s="1330"/>
      <c r="CQ31" s="1330"/>
      <c r="CR31" s="1330"/>
      <c r="CS31" s="1330"/>
      <c r="CT31" s="1330"/>
      <c r="CU31" s="1330"/>
      <c r="CV31" s="1330"/>
      <c r="CW31" s="1330"/>
      <c r="CX31" s="1395"/>
    </row>
    <row r="32" spans="4:102" ht="14.25">
      <c r="D32" s="273"/>
      <c r="E32" s="273"/>
      <c r="S32" s="275"/>
      <c r="T32" s="275"/>
      <c r="U32" s="275"/>
      <c r="V32" s="275"/>
      <c r="W32" s="275"/>
      <c r="X32" s="275"/>
      <c r="Y32" s="275"/>
      <c r="Z32" s="275"/>
      <c r="AA32" s="275"/>
      <c r="AB32" s="275"/>
      <c r="AC32" s="275"/>
      <c r="AD32" s="275"/>
      <c r="AE32" s="275"/>
      <c r="AF32" s="275"/>
      <c r="AG32" s="275"/>
      <c r="AH32" s="275"/>
      <c r="AI32" s="275"/>
      <c r="AJ32" s="275"/>
      <c r="AK32" s="275"/>
      <c r="AL32" s="275"/>
      <c r="BC32" s="1397"/>
      <c r="BD32" s="1398"/>
      <c r="BE32" s="1398"/>
      <c r="BF32" s="1398"/>
      <c r="BG32" s="1398"/>
      <c r="BH32" s="1398"/>
      <c r="BI32" s="1398"/>
      <c r="BJ32" s="1400"/>
      <c r="BK32" s="1402"/>
      <c r="BL32" s="1402"/>
      <c r="BM32" s="1402"/>
      <c r="BN32" s="1402"/>
      <c r="BO32" s="1402"/>
      <c r="BP32" s="1402"/>
      <c r="BQ32" s="1402"/>
      <c r="BR32" s="1402"/>
      <c r="BS32" s="1402"/>
      <c r="BT32" s="1402"/>
      <c r="BU32" s="1402"/>
      <c r="BV32" s="1402"/>
      <c r="BW32" s="1402"/>
      <c r="BX32" s="1400"/>
      <c r="BY32" s="1330"/>
      <c r="BZ32" s="1330"/>
      <c r="CA32" s="1330"/>
      <c r="CB32" s="1330"/>
      <c r="CC32" s="1330"/>
      <c r="CD32" s="1330"/>
      <c r="CE32" s="1330"/>
      <c r="CF32" s="1330"/>
      <c r="CG32" s="1330"/>
      <c r="CH32" s="1330"/>
      <c r="CI32" s="1330"/>
      <c r="CJ32" s="1330"/>
      <c r="CK32" s="1330"/>
      <c r="CL32" s="1330"/>
      <c r="CM32" s="1330"/>
      <c r="CN32" s="1330"/>
      <c r="CO32" s="1330"/>
      <c r="CP32" s="1330"/>
      <c r="CQ32" s="1330"/>
      <c r="CR32" s="1330"/>
      <c r="CS32" s="1330"/>
      <c r="CT32" s="1330"/>
      <c r="CU32" s="1330"/>
      <c r="CV32" s="1330"/>
      <c r="CW32" s="1330"/>
      <c r="CX32" s="1395"/>
    </row>
    <row r="33" spans="4:102" ht="14.25">
      <c r="D33" s="273"/>
      <c r="E33" s="274"/>
      <c r="F33" s="1362" t="s">
        <v>109</v>
      </c>
      <c r="G33" s="1363"/>
      <c r="H33" s="1363"/>
      <c r="I33" s="1363"/>
      <c r="J33" s="1363"/>
      <c r="K33" s="1363"/>
      <c r="L33" s="1363"/>
      <c r="M33" s="1363"/>
      <c r="N33" s="1363"/>
      <c r="O33" s="1363"/>
      <c r="P33" s="1363"/>
      <c r="Q33" s="1364"/>
      <c r="S33" s="1368"/>
      <c r="T33" s="1368"/>
      <c r="U33" s="1368"/>
      <c r="V33" s="1368"/>
      <c r="W33" s="1368"/>
      <c r="X33" s="1368"/>
      <c r="Y33" s="1368"/>
      <c r="Z33" s="1368"/>
      <c r="AA33" s="1368"/>
      <c r="AB33" s="1368"/>
      <c r="AC33" s="1368"/>
      <c r="AD33" s="1368"/>
      <c r="AE33" s="1368"/>
      <c r="AF33" s="1368"/>
      <c r="AG33" s="1368"/>
      <c r="AH33" s="1368"/>
      <c r="AI33" s="1368"/>
      <c r="AJ33" s="1368"/>
      <c r="AK33" s="1368"/>
      <c r="AL33" s="1368"/>
      <c r="BC33" s="1397" t="s">
        <v>2772</v>
      </c>
      <c r="BD33" s="1398"/>
      <c r="BE33" s="1398"/>
      <c r="BF33" s="1398"/>
      <c r="BG33" s="1398"/>
      <c r="BH33" s="1398"/>
      <c r="BI33" s="1398"/>
      <c r="BJ33" s="1392"/>
      <c r="BK33" s="1392"/>
      <c r="BL33" s="1392"/>
      <c r="BM33" s="1392"/>
      <c r="BN33" s="1392"/>
      <c r="BO33" s="1392"/>
      <c r="BP33" s="1392"/>
      <c r="BQ33" s="1392"/>
      <c r="BR33" s="1392"/>
      <c r="BS33" s="1392"/>
      <c r="BT33" s="1392"/>
      <c r="BU33" s="1392"/>
      <c r="BV33" s="1392"/>
      <c r="BW33" s="1392"/>
      <c r="BX33" s="1392"/>
      <c r="BY33" s="1330" t="s">
        <v>2765</v>
      </c>
      <c r="BZ33" s="1330"/>
      <c r="CA33" s="1330"/>
      <c r="CB33" s="1330"/>
      <c r="CC33" s="1330"/>
      <c r="CD33" s="1330"/>
      <c r="CE33" s="1330"/>
      <c r="CF33" s="1330"/>
      <c r="CG33" s="1330"/>
      <c r="CH33" s="1330"/>
      <c r="CI33" s="1330"/>
      <c r="CJ33" s="1330"/>
      <c r="CK33" s="1330"/>
      <c r="CL33" s="1330"/>
      <c r="CM33" s="1330"/>
      <c r="CN33" s="1330"/>
      <c r="CO33" s="1330"/>
      <c r="CP33" s="1330"/>
      <c r="CQ33" s="1330"/>
      <c r="CR33" s="1330"/>
      <c r="CS33" s="1330"/>
      <c r="CT33" s="1330"/>
      <c r="CU33" s="1330"/>
      <c r="CV33" s="1330"/>
      <c r="CW33" s="1330"/>
      <c r="CX33" s="1395"/>
    </row>
    <row r="34" spans="4:102" ht="14.25">
      <c r="D34" s="273"/>
      <c r="E34" s="273"/>
      <c r="F34" s="1365"/>
      <c r="G34" s="1366"/>
      <c r="H34" s="1366"/>
      <c r="I34" s="1366"/>
      <c r="J34" s="1366"/>
      <c r="K34" s="1366"/>
      <c r="L34" s="1366"/>
      <c r="M34" s="1366"/>
      <c r="N34" s="1366"/>
      <c r="O34" s="1366"/>
      <c r="P34" s="1366"/>
      <c r="Q34" s="1367"/>
      <c r="S34" s="1368"/>
      <c r="T34" s="1368"/>
      <c r="U34" s="1368"/>
      <c r="V34" s="1368"/>
      <c r="W34" s="1368"/>
      <c r="X34" s="1368"/>
      <c r="Y34" s="1368"/>
      <c r="Z34" s="1368"/>
      <c r="AA34" s="1368"/>
      <c r="AB34" s="1368"/>
      <c r="AC34" s="1368"/>
      <c r="AD34" s="1368"/>
      <c r="AE34" s="1368"/>
      <c r="AF34" s="1368"/>
      <c r="AG34" s="1368"/>
      <c r="AH34" s="1368"/>
      <c r="AI34" s="1368"/>
      <c r="AJ34" s="1368"/>
      <c r="AK34" s="1368"/>
      <c r="AL34" s="1368"/>
      <c r="BC34" s="1397"/>
      <c r="BD34" s="1398"/>
      <c r="BE34" s="1398"/>
      <c r="BF34" s="1398"/>
      <c r="BG34" s="1398"/>
      <c r="BH34" s="1398"/>
      <c r="BI34" s="1398"/>
      <c r="BJ34" s="1392"/>
      <c r="BK34" s="1392"/>
      <c r="BL34" s="1392"/>
      <c r="BM34" s="1392"/>
      <c r="BN34" s="1392"/>
      <c r="BO34" s="1392"/>
      <c r="BP34" s="1392"/>
      <c r="BQ34" s="1392"/>
      <c r="BR34" s="1392"/>
      <c r="BS34" s="1392"/>
      <c r="BT34" s="1392"/>
      <c r="BU34" s="1392"/>
      <c r="BV34" s="1392"/>
      <c r="BW34" s="1392"/>
      <c r="BX34" s="1392"/>
      <c r="BY34" s="1330"/>
      <c r="BZ34" s="1330"/>
      <c r="CA34" s="1330"/>
      <c r="CB34" s="1330"/>
      <c r="CC34" s="1330"/>
      <c r="CD34" s="1330"/>
      <c r="CE34" s="1330"/>
      <c r="CF34" s="1330"/>
      <c r="CG34" s="1330"/>
      <c r="CH34" s="1330"/>
      <c r="CI34" s="1330"/>
      <c r="CJ34" s="1330"/>
      <c r="CK34" s="1330"/>
      <c r="CL34" s="1330"/>
      <c r="CM34" s="1330"/>
      <c r="CN34" s="1330"/>
      <c r="CO34" s="1330"/>
      <c r="CP34" s="1330"/>
      <c r="CQ34" s="1330"/>
      <c r="CR34" s="1330"/>
      <c r="CS34" s="1330"/>
      <c r="CT34" s="1330"/>
      <c r="CU34" s="1330"/>
      <c r="CV34" s="1330"/>
      <c r="CW34" s="1330"/>
      <c r="CX34" s="1395"/>
    </row>
    <row r="35" spans="4:102" ht="14.25">
      <c r="D35" s="273"/>
      <c r="E35" s="273"/>
      <c r="S35" s="275"/>
      <c r="T35" s="275"/>
      <c r="U35" s="275"/>
      <c r="V35" s="275"/>
      <c r="W35" s="275"/>
      <c r="X35" s="275"/>
      <c r="Y35" s="275"/>
      <c r="Z35" s="275"/>
      <c r="AA35" s="275"/>
      <c r="AB35" s="275"/>
      <c r="AC35" s="275"/>
      <c r="AD35" s="275"/>
      <c r="AE35" s="275"/>
      <c r="AF35" s="275"/>
      <c r="AG35" s="275"/>
      <c r="AH35" s="275"/>
      <c r="AI35" s="275"/>
      <c r="AJ35" s="275"/>
      <c r="AK35" s="275"/>
      <c r="AL35" s="275"/>
      <c r="BC35" s="1390" t="s">
        <v>2773</v>
      </c>
      <c r="BD35" s="1328"/>
      <c r="BE35" s="1328"/>
      <c r="BF35" s="1328"/>
      <c r="BG35" s="1328"/>
      <c r="BH35" s="1328"/>
      <c r="BI35" s="1328"/>
      <c r="BJ35" s="1396"/>
      <c r="BK35" s="1396"/>
      <c r="BL35" s="1396"/>
      <c r="BM35" s="1396"/>
      <c r="BN35" s="1396"/>
      <c r="BO35" s="1396"/>
      <c r="BP35" s="1396"/>
      <c r="BQ35" s="1396"/>
      <c r="BR35" s="1396"/>
      <c r="BS35" s="1396"/>
      <c r="BT35" s="1396"/>
      <c r="BU35" s="1396"/>
      <c r="BV35" s="1396"/>
      <c r="BW35" s="1396"/>
      <c r="BX35" s="1396"/>
      <c r="BY35" s="1330" t="s">
        <v>2774</v>
      </c>
      <c r="BZ35" s="1330"/>
      <c r="CA35" s="1330"/>
      <c r="CB35" s="1330"/>
      <c r="CC35" s="1330"/>
      <c r="CD35" s="1330"/>
      <c r="CE35" s="1330"/>
      <c r="CF35" s="1330"/>
      <c r="CG35" s="1330"/>
      <c r="CH35" s="1330"/>
      <c r="CI35" s="1330"/>
      <c r="CJ35" s="1330"/>
      <c r="CK35" s="1330"/>
      <c r="CL35" s="1330"/>
      <c r="CM35" s="1330"/>
      <c r="CN35" s="1330"/>
      <c r="CO35" s="1330"/>
      <c r="CP35" s="1330"/>
      <c r="CQ35" s="1330"/>
      <c r="CR35" s="1330"/>
      <c r="CS35" s="1330"/>
      <c r="CT35" s="1330"/>
      <c r="CU35" s="1330"/>
      <c r="CV35" s="1330"/>
      <c r="CW35" s="1330"/>
      <c r="CX35" s="1395"/>
    </row>
    <row r="36" spans="4:102" ht="14.25" customHeight="1">
      <c r="D36" s="273"/>
      <c r="E36" s="274"/>
      <c r="F36" s="1376" t="s">
        <v>2775</v>
      </c>
      <c r="G36" s="1377"/>
      <c r="H36" s="1377"/>
      <c r="I36" s="1377"/>
      <c r="J36" s="1377"/>
      <c r="K36" s="1377"/>
      <c r="L36" s="1377"/>
      <c r="M36" s="1377"/>
      <c r="N36" s="1377"/>
      <c r="O36" s="1377"/>
      <c r="P36" s="1377"/>
      <c r="Q36" s="1378"/>
      <c r="S36" s="1403" t="s">
        <v>2776</v>
      </c>
      <c r="T36" s="1403"/>
      <c r="U36" s="1403"/>
      <c r="V36" s="1403"/>
      <c r="W36" s="1403"/>
      <c r="X36" s="1403"/>
      <c r="Y36" s="1403"/>
      <c r="Z36" s="1403"/>
      <c r="AA36" s="1403"/>
      <c r="AB36" s="1403"/>
      <c r="AC36" s="1403"/>
      <c r="AD36" s="1403"/>
      <c r="AE36" s="1403"/>
      <c r="AF36" s="1403"/>
      <c r="AG36" s="1403"/>
      <c r="AH36" s="1403"/>
      <c r="AI36" s="1403"/>
      <c r="AJ36" s="1403"/>
      <c r="AK36" s="1403"/>
      <c r="AL36" s="1403"/>
      <c r="AM36" s="1403"/>
      <c r="AN36" s="1403"/>
      <c r="AO36" s="1403"/>
      <c r="AP36" s="1403"/>
      <c r="AQ36" s="1403"/>
      <c r="BC36" s="1390"/>
      <c r="BD36" s="1328"/>
      <c r="BE36" s="1328"/>
      <c r="BF36" s="1328"/>
      <c r="BG36" s="1328"/>
      <c r="BH36" s="1328"/>
      <c r="BI36" s="1328"/>
      <c r="BJ36" s="1396"/>
      <c r="BK36" s="1396"/>
      <c r="BL36" s="1396"/>
      <c r="BM36" s="1396"/>
      <c r="BN36" s="1396"/>
      <c r="BO36" s="1396"/>
      <c r="BP36" s="1396"/>
      <c r="BQ36" s="1396"/>
      <c r="BR36" s="1396"/>
      <c r="BS36" s="1396"/>
      <c r="BT36" s="1396"/>
      <c r="BU36" s="1396"/>
      <c r="BV36" s="1396"/>
      <c r="BW36" s="1396"/>
      <c r="BX36" s="1396"/>
      <c r="BY36" s="1330"/>
      <c r="BZ36" s="1330"/>
      <c r="CA36" s="1330"/>
      <c r="CB36" s="1330"/>
      <c r="CC36" s="1330"/>
      <c r="CD36" s="1330"/>
      <c r="CE36" s="1330"/>
      <c r="CF36" s="1330"/>
      <c r="CG36" s="1330"/>
      <c r="CH36" s="1330"/>
      <c r="CI36" s="1330"/>
      <c r="CJ36" s="1330"/>
      <c r="CK36" s="1330"/>
      <c r="CL36" s="1330"/>
      <c r="CM36" s="1330"/>
      <c r="CN36" s="1330"/>
      <c r="CO36" s="1330"/>
      <c r="CP36" s="1330"/>
      <c r="CQ36" s="1330"/>
      <c r="CR36" s="1330"/>
      <c r="CS36" s="1330"/>
      <c r="CT36" s="1330"/>
      <c r="CU36" s="1330"/>
      <c r="CV36" s="1330"/>
      <c r="CW36" s="1330"/>
      <c r="CX36" s="1395"/>
    </row>
    <row r="37" spans="4:102" ht="14.25">
      <c r="D37" s="273"/>
      <c r="F37" s="1379"/>
      <c r="G37" s="1380"/>
      <c r="H37" s="1380"/>
      <c r="I37" s="1380"/>
      <c r="J37" s="1380"/>
      <c r="K37" s="1380"/>
      <c r="L37" s="1380"/>
      <c r="M37" s="1380"/>
      <c r="N37" s="1380"/>
      <c r="O37" s="1380"/>
      <c r="P37" s="1380"/>
      <c r="Q37" s="1381"/>
      <c r="S37" s="1403"/>
      <c r="T37" s="1403"/>
      <c r="U37" s="1403"/>
      <c r="V37" s="1403"/>
      <c r="W37" s="1403"/>
      <c r="X37" s="1403"/>
      <c r="Y37" s="1403"/>
      <c r="Z37" s="1403"/>
      <c r="AA37" s="1403"/>
      <c r="AB37" s="1403"/>
      <c r="AC37" s="1403"/>
      <c r="AD37" s="1403"/>
      <c r="AE37" s="1403"/>
      <c r="AF37" s="1403"/>
      <c r="AG37" s="1403"/>
      <c r="AH37" s="1403"/>
      <c r="AI37" s="1403"/>
      <c r="AJ37" s="1403"/>
      <c r="AK37" s="1403"/>
      <c r="AL37" s="1403"/>
      <c r="AM37" s="1403"/>
      <c r="AN37" s="1403"/>
      <c r="AO37" s="1403"/>
      <c r="AP37" s="1403"/>
      <c r="AQ37" s="1403"/>
      <c r="BC37" s="1397" t="s">
        <v>2777</v>
      </c>
      <c r="BD37" s="1398"/>
      <c r="BE37" s="1398"/>
      <c r="BF37" s="1398"/>
      <c r="BG37" s="1398"/>
      <c r="BH37" s="1398"/>
      <c r="BI37" s="1398"/>
      <c r="BJ37" s="1396"/>
      <c r="BK37" s="1396"/>
      <c r="BL37" s="1396"/>
      <c r="BM37" s="1396"/>
      <c r="BN37" s="1396"/>
      <c r="BO37" s="1396"/>
      <c r="BP37" s="1396"/>
      <c r="BQ37" s="1396"/>
      <c r="BR37" s="1396"/>
      <c r="BS37" s="1396"/>
      <c r="BT37" s="1396"/>
      <c r="BU37" s="1396"/>
      <c r="BV37" s="1396"/>
      <c r="BW37" s="1396"/>
      <c r="BX37" s="1396"/>
      <c r="BY37" s="1330" t="s">
        <v>2778</v>
      </c>
      <c r="BZ37" s="1330"/>
      <c r="CA37" s="1330"/>
      <c r="CB37" s="1330"/>
      <c r="CC37" s="1330"/>
      <c r="CD37" s="1330"/>
      <c r="CE37" s="1330"/>
      <c r="CF37" s="1330"/>
      <c r="CG37" s="1330"/>
      <c r="CH37" s="1330"/>
      <c r="CI37" s="1330"/>
      <c r="CJ37" s="1330"/>
      <c r="CK37" s="1330"/>
      <c r="CL37" s="1330"/>
      <c r="CM37" s="1330"/>
      <c r="CN37" s="1330"/>
      <c r="CO37" s="1330"/>
      <c r="CP37" s="1330"/>
      <c r="CQ37" s="1330"/>
      <c r="CR37" s="1330"/>
      <c r="CS37" s="1330"/>
      <c r="CT37" s="1330"/>
      <c r="CU37" s="1330"/>
      <c r="CV37" s="1330"/>
      <c r="CW37" s="1330"/>
      <c r="CX37" s="1395"/>
    </row>
    <row r="38" spans="4:102" ht="14.25">
      <c r="D38" s="273"/>
      <c r="BC38" s="1397"/>
      <c r="BD38" s="1398"/>
      <c r="BE38" s="1398"/>
      <c r="BF38" s="1398"/>
      <c r="BG38" s="1398"/>
      <c r="BH38" s="1398"/>
      <c r="BI38" s="1398"/>
      <c r="BJ38" s="1396"/>
      <c r="BK38" s="1396"/>
      <c r="BL38" s="1396"/>
      <c r="BM38" s="1396"/>
      <c r="BN38" s="1396"/>
      <c r="BO38" s="1396"/>
      <c r="BP38" s="1396"/>
      <c r="BQ38" s="1396"/>
      <c r="BR38" s="1396"/>
      <c r="BS38" s="1396"/>
      <c r="BT38" s="1396"/>
      <c r="BU38" s="1396"/>
      <c r="BV38" s="1396"/>
      <c r="BW38" s="1396"/>
      <c r="BX38" s="1396"/>
      <c r="BY38" s="1330"/>
      <c r="BZ38" s="1330"/>
      <c r="CA38" s="1330"/>
      <c r="CB38" s="1330"/>
      <c r="CC38" s="1330"/>
      <c r="CD38" s="1330"/>
      <c r="CE38" s="1330"/>
      <c r="CF38" s="1330"/>
      <c r="CG38" s="1330"/>
      <c r="CH38" s="1330"/>
      <c r="CI38" s="1330"/>
      <c r="CJ38" s="1330"/>
      <c r="CK38" s="1330"/>
      <c r="CL38" s="1330"/>
      <c r="CM38" s="1330"/>
      <c r="CN38" s="1330"/>
      <c r="CO38" s="1330"/>
      <c r="CP38" s="1330"/>
      <c r="CQ38" s="1330"/>
      <c r="CR38" s="1330"/>
      <c r="CS38" s="1330"/>
      <c r="CT38" s="1330"/>
      <c r="CU38" s="1330"/>
      <c r="CV38" s="1330"/>
      <c r="CW38" s="1330"/>
      <c r="CX38" s="1395"/>
    </row>
    <row r="39" spans="4:102" ht="15" thickBot="1">
      <c r="D39" s="273"/>
      <c r="BC39" s="1397" t="s">
        <v>2779</v>
      </c>
      <c r="BD39" s="1398"/>
      <c r="BE39" s="1398"/>
      <c r="BF39" s="1398"/>
      <c r="BG39" s="1398"/>
      <c r="BH39" s="1398"/>
      <c r="BI39" s="1398"/>
      <c r="BJ39" s="1399" t="s">
        <v>374</v>
      </c>
      <c r="BK39" s="1401"/>
      <c r="BL39" s="1401"/>
      <c r="BM39" s="1401"/>
      <c r="BN39" s="1401"/>
      <c r="BO39" s="1401"/>
      <c r="BP39" s="1401"/>
      <c r="BQ39" s="1401"/>
      <c r="BR39" s="1401"/>
      <c r="BS39" s="1401"/>
      <c r="BT39" s="1401"/>
      <c r="BU39" s="1401"/>
      <c r="BV39" s="1401"/>
      <c r="BW39" s="1401"/>
      <c r="BX39" s="1399" t="s">
        <v>375</v>
      </c>
      <c r="BY39" s="1330" t="s">
        <v>2780</v>
      </c>
      <c r="BZ39" s="1330"/>
      <c r="CA39" s="1330"/>
      <c r="CB39" s="1330"/>
      <c r="CC39" s="1330"/>
      <c r="CD39" s="1330"/>
      <c r="CE39" s="1330"/>
      <c r="CF39" s="1330"/>
      <c r="CG39" s="1330"/>
      <c r="CH39" s="1330"/>
      <c r="CI39" s="1330"/>
      <c r="CJ39" s="1330"/>
      <c r="CK39" s="1330"/>
      <c r="CL39" s="1330"/>
      <c r="CM39" s="1330"/>
      <c r="CN39" s="1330"/>
      <c r="CO39" s="1330"/>
      <c r="CP39" s="1330"/>
      <c r="CQ39" s="1330"/>
      <c r="CR39" s="1330"/>
      <c r="CS39" s="1330"/>
      <c r="CT39" s="1330"/>
      <c r="CU39" s="1330"/>
      <c r="CV39" s="1330"/>
      <c r="CW39" s="1330"/>
      <c r="CX39" s="1395"/>
    </row>
    <row r="40" spans="4:102" ht="15" thickTop="1">
      <c r="D40" s="273"/>
      <c r="E40" s="1411" t="s">
        <v>2781</v>
      </c>
      <c r="F40" s="1412"/>
      <c r="G40" s="1412"/>
      <c r="H40" s="1412"/>
      <c r="I40" s="1412"/>
      <c r="J40" s="1412"/>
      <c r="K40" s="1412"/>
      <c r="L40" s="1412"/>
      <c r="M40" s="1413"/>
      <c r="BC40" s="1397"/>
      <c r="BD40" s="1398"/>
      <c r="BE40" s="1398"/>
      <c r="BF40" s="1398"/>
      <c r="BG40" s="1398"/>
      <c r="BH40" s="1398"/>
      <c r="BI40" s="1398"/>
      <c r="BJ40" s="1400"/>
      <c r="BK40" s="1402"/>
      <c r="BL40" s="1402"/>
      <c r="BM40" s="1402"/>
      <c r="BN40" s="1402"/>
      <c r="BO40" s="1402"/>
      <c r="BP40" s="1402"/>
      <c r="BQ40" s="1402"/>
      <c r="BR40" s="1402"/>
      <c r="BS40" s="1402"/>
      <c r="BT40" s="1402"/>
      <c r="BU40" s="1402"/>
      <c r="BV40" s="1402"/>
      <c r="BW40" s="1402"/>
      <c r="BX40" s="1400"/>
      <c r="BY40" s="1330"/>
      <c r="BZ40" s="1330"/>
      <c r="CA40" s="1330"/>
      <c r="CB40" s="1330"/>
      <c r="CC40" s="1330"/>
      <c r="CD40" s="1330"/>
      <c r="CE40" s="1330"/>
      <c r="CF40" s="1330"/>
      <c r="CG40" s="1330"/>
      <c r="CH40" s="1330"/>
      <c r="CI40" s="1330"/>
      <c r="CJ40" s="1330"/>
      <c r="CK40" s="1330"/>
      <c r="CL40" s="1330"/>
      <c r="CM40" s="1330"/>
      <c r="CN40" s="1330"/>
      <c r="CO40" s="1330"/>
      <c r="CP40" s="1330"/>
      <c r="CQ40" s="1330"/>
      <c r="CR40" s="1330"/>
      <c r="CS40" s="1330"/>
      <c r="CT40" s="1330"/>
      <c r="CU40" s="1330"/>
      <c r="CV40" s="1330"/>
      <c r="CW40" s="1330"/>
      <c r="CX40" s="1395"/>
    </row>
    <row r="41" spans="4:102" ht="14.25">
      <c r="D41" s="274"/>
      <c r="E41" s="1414"/>
      <c r="F41" s="1312"/>
      <c r="G41" s="1312"/>
      <c r="H41" s="1312"/>
      <c r="I41" s="1312"/>
      <c r="J41" s="1312"/>
      <c r="K41" s="1312"/>
      <c r="L41" s="1312"/>
      <c r="M41" s="1415"/>
      <c r="BC41" s="1390" t="s">
        <v>2782</v>
      </c>
      <c r="BD41" s="1328"/>
      <c r="BE41" s="1328"/>
      <c r="BF41" s="1328"/>
      <c r="BG41" s="1328"/>
      <c r="BH41" s="1328"/>
      <c r="BI41" s="1328"/>
      <c r="BJ41" s="1396"/>
      <c r="BK41" s="1396"/>
      <c r="BL41" s="1396"/>
      <c r="BM41" s="1396"/>
      <c r="BN41" s="1396"/>
      <c r="BO41" s="1396"/>
      <c r="BP41" s="1396"/>
      <c r="BQ41" s="1396"/>
      <c r="BR41" s="1396"/>
      <c r="BS41" s="1396"/>
      <c r="BT41" s="1396"/>
      <c r="BU41" s="1396"/>
      <c r="BV41" s="1396"/>
      <c r="BW41" s="1396"/>
      <c r="BX41" s="1396"/>
      <c r="BY41" s="1330" t="s">
        <v>2783</v>
      </c>
      <c r="BZ41" s="1330"/>
      <c r="CA41" s="1330"/>
      <c r="CB41" s="1330"/>
      <c r="CC41" s="1330"/>
      <c r="CD41" s="1330"/>
      <c r="CE41" s="1330"/>
      <c r="CF41" s="1330"/>
      <c r="CG41" s="1330"/>
      <c r="CH41" s="1330"/>
      <c r="CI41" s="1330"/>
      <c r="CJ41" s="1330"/>
      <c r="CK41" s="1330"/>
      <c r="CL41" s="1330"/>
      <c r="CM41" s="1330"/>
      <c r="CN41" s="1330"/>
      <c r="CO41" s="1330"/>
      <c r="CP41" s="1330"/>
      <c r="CQ41" s="1330"/>
      <c r="CR41" s="1330"/>
      <c r="CS41" s="1330"/>
      <c r="CT41" s="1330"/>
      <c r="CU41" s="1330"/>
      <c r="CV41" s="1330"/>
      <c r="CW41" s="1330"/>
      <c r="CX41" s="1395"/>
    </row>
    <row r="42" spans="4:102" ht="15" thickBot="1">
      <c r="E42" s="1416"/>
      <c r="F42" s="1417"/>
      <c r="G42" s="1417"/>
      <c r="H42" s="1417"/>
      <c r="I42" s="1417"/>
      <c r="J42" s="1417"/>
      <c r="K42" s="1417"/>
      <c r="L42" s="1417"/>
      <c r="M42" s="1418"/>
      <c r="BC42" s="1390"/>
      <c r="BD42" s="1328"/>
      <c r="BE42" s="1328"/>
      <c r="BF42" s="1328"/>
      <c r="BG42" s="1328"/>
      <c r="BH42" s="1328"/>
      <c r="BI42" s="1328"/>
      <c r="BJ42" s="1396"/>
      <c r="BK42" s="1396"/>
      <c r="BL42" s="1396"/>
      <c r="BM42" s="1396"/>
      <c r="BN42" s="1396"/>
      <c r="BO42" s="1396"/>
      <c r="BP42" s="1396"/>
      <c r="BQ42" s="1396"/>
      <c r="BR42" s="1396"/>
      <c r="BS42" s="1396"/>
      <c r="BT42" s="1396"/>
      <c r="BU42" s="1396"/>
      <c r="BV42" s="1396"/>
      <c r="BW42" s="1396"/>
      <c r="BX42" s="1396"/>
      <c r="BY42" s="1330"/>
      <c r="BZ42" s="1330"/>
      <c r="CA42" s="1330"/>
      <c r="CB42" s="1330"/>
      <c r="CC42" s="1330"/>
      <c r="CD42" s="1330"/>
      <c r="CE42" s="1330"/>
      <c r="CF42" s="1330"/>
      <c r="CG42" s="1330"/>
      <c r="CH42" s="1330"/>
      <c r="CI42" s="1330"/>
      <c r="CJ42" s="1330"/>
      <c r="CK42" s="1330"/>
      <c r="CL42" s="1330"/>
      <c r="CM42" s="1330"/>
      <c r="CN42" s="1330"/>
      <c r="CO42" s="1330"/>
      <c r="CP42" s="1330"/>
      <c r="CQ42" s="1330"/>
      <c r="CR42" s="1330"/>
      <c r="CS42" s="1330"/>
      <c r="CT42" s="1330"/>
      <c r="CU42" s="1330"/>
      <c r="CV42" s="1330"/>
      <c r="CW42" s="1330"/>
      <c r="CX42" s="1395"/>
    </row>
    <row r="43" spans="4:102" ht="15" thickTop="1">
      <c r="G43" s="278"/>
      <c r="BC43" s="1390" t="s">
        <v>2784</v>
      </c>
      <c r="BD43" s="1328"/>
      <c r="BE43" s="1328"/>
      <c r="BF43" s="1328"/>
      <c r="BG43" s="1328"/>
      <c r="BH43" s="1328"/>
      <c r="BI43" s="1328"/>
      <c r="BJ43" s="1329"/>
      <c r="BK43" s="1329"/>
      <c r="BL43" s="1329"/>
      <c r="BM43" s="1329"/>
      <c r="BN43" s="1329"/>
      <c r="BO43" s="1329"/>
      <c r="BP43" s="1329"/>
      <c r="BQ43" s="1329"/>
      <c r="BR43" s="1329"/>
      <c r="BS43" s="1329"/>
      <c r="BT43" s="1329"/>
      <c r="BU43" s="1329"/>
      <c r="BV43" s="1329"/>
      <c r="BW43" s="1329"/>
      <c r="BX43" s="1329"/>
      <c r="BY43" s="1330" t="s">
        <v>2785</v>
      </c>
      <c r="BZ43" s="1330"/>
      <c r="CA43" s="1330"/>
      <c r="CB43" s="1330"/>
      <c r="CC43" s="1330"/>
      <c r="CD43" s="1330"/>
      <c r="CE43" s="1330"/>
      <c r="CF43" s="1330"/>
      <c r="CG43" s="1330"/>
      <c r="CH43" s="1330"/>
      <c r="CI43" s="1330"/>
      <c r="CJ43" s="1330"/>
      <c r="CK43" s="1330"/>
      <c r="CL43" s="1330"/>
      <c r="CM43" s="1330"/>
      <c r="CN43" s="1330"/>
      <c r="CO43" s="1330"/>
      <c r="CP43" s="1330"/>
      <c r="CQ43" s="1330"/>
      <c r="CR43" s="1330"/>
      <c r="CS43" s="1330"/>
      <c r="CT43" s="1330"/>
      <c r="CU43" s="1330"/>
      <c r="CV43" s="1330"/>
      <c r="CW43" s="1330"/>
      <c r="CX43" s="1395"/>
    </row>
    <row r="44" spans="4:102" ht="14.25">
      <c r="G44" s="279"/>
      <c r="H44" s="267"/>
      <c r="BC44" s="1390"/>
      <c r="BD44" s="1328"/>
      <c r="BE44" s="1328"/>
      <c r="BF44" s="1328"/>
      <c r="BG44" s="1328"/>
      <c r="BH44" s="1328"/>
      <c r="BI44" s="1328"/>
      <c r="BJ44" s="1329"/>
      <c r="BK44" s="1329"/>
      <c r="BL44" s="1329"/>
      <c r="BM44" s="1329"/>
      <c r="BN44" s="1329"/>
      <c r="BO44" s="1329"/>
      <c r="BP44" s="1329"/>
      <c r="BQ44" s="1329"/>
      <c r="BR44" s="1329"/>
      <c r="BS44" s="1329"/>
      <c r="BT44" s="1329"/>
      <c r="BU44" s="1329"/>
      <c r="BV44" s="1329"/>
      <c r="BW44" s="1329"/>
      <c r="BX44" s="1329"/>
      <c r="BY44" s="1330"/>
      <c r="BZ44" s="1330"/>
      <c r="CA44" s="1330"/>
      <c r="CB44" s="1330"/>
      <c r="CC44" s="1330"/>
      <c r="CD44" s="1330"/>
      <c r="CE44" s="1330"/>
      <c r="CF44" s="1330"/>
      <c r="CG44" s="1330"/>
      <c r="CH44" s="1330"/>
      <c r="CI44" s="1330"/>
      <c r="CJ44" s="1330"/>
      <c r="CK44" s="1330"/>
      <c r="CL44" s="1330"/>
      <c r="CM44" s="1330"/>
      <c r="CN44" s="1330"/>
      <c r="CO44" s="1330"/>
      <c r="CP44" s="1330"/>
      <c r="CQ44" s="1330"/>
      <c r="CR44" s="1330"/>
      <c r="CS44" s="1330"/>
      <c r="CT44" s="1330"/>
      <c r="CU44" s="1330"/>
      <c r="CV44" s="1330"/>
      <c r="CW44" s="1330"/>
      <c r="CX44" s="1395"/>
    </row>
    <row r="45" spans="4:102" ht="14.25">
      <c r="G45" s="279"/>
      <c r="H45" s="1404" t="s">
        <v>2786</v>
      </c>
      <c r="I45" s="1405"/>
      <c r="J45" s="1405"/>
      <c r="K45" s="1405"/>
      <c r="L45" s="1405"/>
      <c r="M45" s="1405"/>
      <c r="N45" s="1405"/>
      <c r="O45" s="1405"/>
      <c r="P45" s="1405"/>
      <c r="Q45" s="1405"/>
      <c r="R45" s="1405"/>
      <c r="S45" s="1406"/>
      <c r="U45" s="1368"/>
      <c r="V45" s="1368"/>
      <c r="W45" s="1368"/>
      <c r="X45" s="1368"/>
      <c r="Y45" s="1368"/>
      <c r="Z45" s="1368"/>
      <c r="AA45" s="1368"/>
      <c r="AB45" s="1368"/>
      <c r="AC45" s="1368"/>
      <c r="AD45" s="1368"/>
      <c r="AE45" s="1368"/>
      <c r="AF45" s="1368"/>
      <c r="AG45" s="1368"/>
      <c r="AH45" s="1368"/>
      <c r="AI45" s="1368"/>
      <c r="AJ45" s="1368"/>
      <c r="AK45" s="1368"/>
      <c r="AL45" s="1368"/>
      <c r="AM45" s="1368"/>
      <c r="AN45" s="1368"/>
      <c r="BC45" s="1390" t="s">
        <v>2787</v>
      </c>
      <c r="BD45" s="1328"/>
      <c r="BE45" s="1328"/>
      <c r="BF45" s="1328"/>
      <c r="BG45" s="1328"/>
      <c r="BH45" s="1410" t="s">
        <v>4</v>
      </c>
      <c r="BI45" s="1410"/>
      <c r="BJ45" s="1396"/>
      <c r="BK45" s="1396"/>
      <c r="BL45" s="1396"/>
      <c r="BM45" s="1396"/>
      <c r="BN45" s="1396"/>
      <c r="BO45" s="1396"/>
      <c r="BP45" s="1396"/>
      <c r="BQ45" s="1396"/>
      <c r="BR45" s="1396"/>
      <c r="BS45" s="1396"/>
      <c r="BT45" s="1396"/>
      <c r="BU45" s="1396"/>
      <c r="BV45" s="1396"/>
      <c r="BW45" s="1396"/>
      <c r="BX45" s="1396"/>
      <c r="BY45" s="1330" t="s">
        <v>2788</v>
      </c>
      <c r="BZ45" s="1330"/>
      <c r="CA45" s="1330"/>
      <c r="CB45" s="1330"/>
      <c r="CC45" s="1330"/>
      <c r="CD45" s="1330"/>
      <c r="CE45" s="1330"/>
      <c r="CF45" s="1330"/>
      <c r="CG45" s="1330"/>
      <c r="CH45" s="1330"/>
      <c r="CI45" s="1330"/>
      <c r="CJ45" s="1330"/>
      <c r="CK45" s="1330"/>
      <c r="CL45" s="1330"/>
      <c r="CM45" s="1330"/>
      <c r="CN45" s="1330"/>
      <c r="CO45" s="1330"/>
      <c r="CP45" s="1330"/>
      <c r="CQ45" s="1330"/>
      <c r="CR45" s="1330"/>
      <c r="CS45" s="1330"/>
      <c r="CT45" s="1330"/>
      <c r="CU45" s="1330"/>
      <c r="CV45" s="1330"/>
      <c r="CW45" s="1330"/>
      <c r="CX45" s="1395"/>
    </row>
    <row r="46" spans="4:102" ht="14.25">
      <c r="G46" s="280"/>
      <c r="H46" s="1407"/>
      <c r="I46" s="1408"/>
      <c r="J46" s="1408"/>
      <c r="K46" s="1408"/>
      <c r="L46" s="1408"/>
      <c r="M46" s="1408"/>
      <c r="N46" s="1408"/>
      <c r="O46" s="1408"/>
      <c r="P46" s="1408"/>
      <c r="Q46" s="1408"/>
      <c r="R46" s="1408"/>
      <c r="S46" s="1409"/>
      <c r="U46" s="1368"/>
      <c r="V46" s="1368"/>
      <c r="W46" s="1368"/>
      <c r="X46" s="1368"/>
      <c r="Y46" s="1368"/>
      <c r="Z46" s="1368"/>
      <c r="AA46" s="1368"/>
      <c r="AB46" s="1368"/>
      <c r="AC46" s="1368"/>
      <c r="AD46" s="1368"/>
      <c r="AE46" s="1368"/>
      <c r="AF46" s="1368"/>
      <c r="AG46" s="1368"/>
      <c r="AH46" s="1368"/>
      <c r="AI46" s="1368"/>
      <c r="AJ46" s="1368"/>
      <c r="AK46" s="1368"/>
      <c r="AL46" s="1368"/>
      <c r="AM46" s="1368"/>
      <c r="AN46" s="1368"/>
      <c r="BC46" s="1390"/>
      <c r="BD46" s="1328"/>
      <c r="BE46" s="1328"/>
      <c r="BF46" s="1328"/>
      <c r="BG46" s="1328"/>
      <c r="BH46" s="1410"/>
      <c r="BI46" s="1410"/>
      <c r="BJ46" s="1396"/>
      <c r="BK46" s="1396"/>
      <c r="BL46" s="1396"/>
      <c r="BM46" s="1396"/>
      <c r="BN46" s="1396"/>
      <c r="BO46" s="1396"/>
      <c r="BP46" s="1396"/>
      <c r="BQ46" s="1396"/>
      <c r="BR46" s="1396"/>
      <c r="BS46" s="1396"/>
      <c r="BT46" s="1396"/>
      <c r="BU46" s="1396"/>
      <c r="BV46" s="1396"/>
      <c r="BW46" s="1396"/>
      <c r="BX46" s="1396"/>
      <c r="BY46" s="1330"/>
      <c r="BZ46" s="1330"/>
      <c r="CA46" s="1330"/>
      <c r="CB46" s="1330"/>
      <c r="CC46" s="1330"/>
      <c r="CD46" s="1330"/>
      <c r="CE46" s="1330"/>
      <c r="CF46" s="1330"/>
      <c r="CG46" s="1330"/>
      <c r="CH46" s="1330"/>
      <c r="CI46" s="1330"/>
      <c r="CJ46" s="1330"/>
      <c r="CK46" s="1330"/>
      <c r="CL46" s="1330"/>
      <c r="CM46" s="1330"/>
      <c r="CN46" s="1330"/>
      <c r="CO46" s="1330"/>
      <c r="CP46" s="1330"/>
      <c r="CQ46" s="1330"/>
      <c r="CR46" s="1330"/>
      <c r="CS46" s="1330"/>
      <c r="CT46" s="1330"/>
      <c r="CU46" s="1330"/>
      <c r="CV46" s="1330"/>
      <c r="CW46" s="1330"/>
      <c r="CX46" s="1395"/>
    </row>
    <row r="47" spans="4:102" ht="14.25">
      <c r="G47" s="279"/>
      <c r="U47" s="275"/>
      <c r="V47" s="275"/>
      <c r="W47" s="275"/>
      <c r="X47" s="275"/>
      <c r="Y47" s="275"/>
      <c r="Z47" s="275"/>
      <c r="AA47" s="275"/>
      <c r="AB47" s="275"/>
      <c r="AC47" s="275"/>
      <c r="AD47" s="275"/>
      <c r="AE47" s="275"/>
      <c r="AF47" s="275"/>
      <c r="AG47" s="275"/>
      <c r="AH47" s="275"/>
      <c r="AI47" s="275"/>
      <c r="AJ47" s="275"/>
      <c r="AK47" s="275"/>
      <c r="AL47" s="275"/>
      <c r="AM47" s="275"/>
      <c r="AN47" s="275"/>
      <c r="BC47" s="1390" t="s">
        <v>2787</v>
      </c>
      <c r="BD47" s="1328"/>
      <c r="BE47" s="1328"/>
      <c r="BF47" s="1328"/>
      <c r="BG47" s="1328"/>
      <c r="BH47" s="1410" t="s">
        <v>373</v>
      </c>
      <c r="BI47" s="1410"/>
      <c r="BJ47" s="1396"/>
      <c r="BK47" s="1396"/>
      <c r="BL47" s="1396"/>
      <c r="BM47" s="1396"/>
      <c r="BN47" s="1396"/>
      <c r="BO47" s="1396"/>
      <c r="BP47" s="1396"/>
      <c r="BQ47" s="1396"/>
      <c r="BR47" s="1396"/>
      <c r="BS47" s="1396"/>
      <c r="BT47" s="1396"/>
      <c r="BU47" s="1396"/>
      <c r="BV47" s="1396"/>
      <c r="BW47" s="1396"/>
      <c r="BX47" s="1396"/>
      <c r="BY47" s="1330" t="s">
        <v>2789</v>
      </c>
      <c r="BZ47" s="1330"/>
      <c r="CA47" s="1330"/>
      <c r="CB47" s="1330"/>
      <c r="CC47" s="1330"/>
      <c r="CD47" s="1330"/>
      <c r="CE47" s="1330"/>
      <c r="CF47" s="1330"/>
      <c r="CG47" s="1330"/>
      <c r="CH47" s="1330"/>
      <c r="CI47" s="1330"/>
      <c r="CJ47" s="1330"/>
      <c r="CK47" s="1330"/>
      <c r="CL47" s="1330"/>
      <c r="CM47" s="1330"/>
      <c r="CN47" s="1330"/>
      <c r="CO47" s="1330"/>
      <c r="CP47" s="1330"/>
      <c r="CQ47" s="1330"/>
      <c r="CR47" s="1330"/>
      <c r="CS47" s="1330"/>
      <c r="CT47" s="1330"/>
      <c r="CU47" s="1330"/>
      <c r="CV47" s="1330"/>
      <c r="CW47" s="1330"/>
      <c r="CX47" s="1395"/>
    </row>
    <row r="48" spans="4:102" ht="14.25">
      <c r="G48" s="281"/>
      <c r="H48" s="1404" t="s">
        <v>2790</v>
      </c>
      <c r="I48" s="1405"/>
      <c r="J48" s="1405"/>
      <c r="K48" s="1405"/>
      <c r="L48" s="1405"/>
      <c r="M48" s="1405"/>
      <c r="N48" s="1405"/>
      <c r="O48" s="1405"/>
      <c r="P48" s="1405"/>
      <c r="Q48" s="1405"/>
      <c r="R48" s="1405"/>
      <c r="S48" s="1406"/>
      <c r="U48" s="1419" t="s">
        <v>2791</v>
      </c>
      <c r="V48" s="1419"/>
      <c r="W48" s="1419"/>
      <c r="X48" s="1419"/>
      <c r="Y48" s="1419"/>
      <c r="Z48" s="1419"/>
      <c r="AA48" s="1419"/>
      <c r="AB48" s="1419"/>
      <c r="AC48" s="1419"/>
      <c r="AD48" s="1419"/>
      <c r="AE48" s="1419"/>
      <c r="AF48" s="1419"/>
      <c r="AG48" s="1419"/>
      <c r="AH48" s="1419"/>
      <c r="AI48" s="1419"/>
      <c r="AJ48" s="1419"/>
      <c r="AK48" s="1419"/>
      <c r="AL48" s="1419"/>
      <c r="AM48" s="1419"/>
      <c r="AN48" s="1419"/>
      <c r="BC48" s="1390"/>
      <c r="BD48" s="1328"/>
      <c r="BE48" s="1328"/>
      <c r="BF48" s="1328"/>
      <c r="BG48" s="1328"/>
      <c r="BH48" s="1410"/>
      <c r="BI48" s="1410"/>
      <c r="BJ48" s="1396"/>
      <c r="BK48" s="1396"/>
      <c r="BL48" s="1396"/>
      <c r="BM48" s="1396"/>
      <c r="BN48" s="1396"/>
      <c r="BO48" s="1396"/>
      <c r="BP48" s="1396"/>
      <c r="BQ48" s="1396"/>
      <c r="BR48" s="1396"/>
      <c r="BS48" s="1396"/>
      <c r="BT48" s="1396"/>
      <c r="BU48" s="1396"/>
      <c r="BV48" s="1396"/>
      <c r="BW48" s="1396"/>
      <c r="BX48" s="1396"/>
      <c r="BY48" s="1330"/>
      <c r="BZ48" s="1330"/>
      <c r="CA48" s="1330"/>
      <c r="CB48" s="1330"/>
      <c r="CC48" s="1330"/>
      <c r="CD48" s="1330"/>
      <c r="CE48" s="1330"/>
      <c r="CF48" s="1330"/>
      <c r="CG48" s="1330"/>
      <c r="CH48" s="1330"/>
      <c r="CI48" s="1330"/>
      <c r="CJ48" s="1330"/>
      <c r="CK48" s="1330"/>
      <c r="CL48" s="1330"/>
      <c r="CM48" s="1330"/>
      <c r="CN48" s="1330"/>
      <c r="CO48" s="1330"/>
      <c r="CP48" s="1330"/>
      <c r="CQ48" s="1330"/>
      <c r="CR48" s="1330"/>
      <c r="CS48" s="1330"/>
      <c r="CT48" s="1330"/>
      <c r="CU48" s="1330"/>
      <c r="CV48" s="1330"/>
      <c r="CW48" s="1330"/>
      <c r="CX48" s="1395"/>
    </row>
    <row r="49" spans="3:102" ht="14.25">
      <c r="G49" s="279"/>
      <c r="H49" s="1407"/>
      <c r="I49" s="1408"/>
      <c r="J49" s="1408"/>
      <c r="K49" s="1408"/>
      <c r="L49" s="1408"/>
      <c r="M49" s="1408"/>
      <c r="N49" s="1408"/>
      <c r="O49" s="1408"/>
      <c r="P49" s="1408"/>
      <c r="Q49" s="1408"/>
      <c r="R49" s="1408"/>
      <c r="S49" s="1409"/>
      <c r="U49" s="1419"/>
      <c r="V49" s="1419"/>
      <c r="W49" s="1419"/>
      <c r="X49" s="1419"/>
      <c r="Y49" s="1419"/>
      <c r="Z49" s="1419"/>
      <c r="AA49" s="1419"/>
      <c r="AB49" s="1419"/>
      <c r="AC49" s="1419"/>
      <c r="AD49" s="1419"/>
      <c r="AE49" s="1419"/>
      <c r="AF49" s="1419"/>
      <c r="AG49" s="1419"/>
      <c r="AH49" s="1419"/>
      <c r="AI49" s="1419"/>
      <c r="AJ49" s="1419"/>
      <c r="AK49" s="1419"/>
      <c r="AL49" s="1419"/>
      <c r="AM49" s="1419"/>
      <c r="AN49" s="1419"/>
      <c r="BC49" s="1390" t="s">
        <v>2792</v>
      </c>
      <c r="BD49" s="1328"/>
      <c r="BE49" s="1328"/>
      <c r="BF49" s="1328"/>
      <c r="BG49" s="1328"/>
      <c r="BH49" s="1328"/>
      <c r="BI49" s="1328"/>
      <c r="BJ49" s="1329"/>
      <c r="BK49" s="1329"/>
      <c r="BL49" s="1329"/>
      <c r="BM49" s="1329"/>
      <c r="BN49" s="1329"/>
      <c r="BO49" s="1329"/>
      <c r="BP49" s="1329"/>
      <c r="BQ49" s="1329"/>
      <c r="BR49" s="1329"/>
      <c r="BS49" s="1329"/>
      <c r="BT49" s="1329"/>
      <c r="BU49" s="1329"/>
      <c r="BV49" s="1329"/>
      <c r="BW49" s="1329"/>
      <c r="BX49" s="1329"/>
      <c r="BY49" s="1330" t="s">
        <v>2793</v>
      </c>
      <c r="BZ49" s="1330"/>
      <c r="CA49" s="1330"/>
      <c r="CB49" s="1330"/>
      <c r="CC49" s="1330"/>
      <c r="CD49" s="1330"/>
      <c r="CE49" s="1330"/>
      <c r="CF49" s="1330"/>
      <c r="CG49" s="1330"/>
      <c r="CH49" s="1330"/>
      <c r="CI49" s="1330"/>
      <c r="CJ49" s="1330"/>
      <c r="CK49" s="1330"/>
      <c r="CL49" s="1330"/>
      <c r="CM49" s="1330"/>
      <c r="CN49" s="1330"/>
      <c r="CO49" s="1330"/>
      <c r="CP49" s="1330"/>
      <c r="CQ49" s="1330"/>
      <c r="CR49" s="1330"/>
      <c r="CS49" s="1330"/>
      <c r="CT49" s="1330"/>
      <c r="CU49" s="1330"/>
      <c r="CV49" s="1330"/>
      <c r="CW49" s="1330"/>
      <c r="CX49" s="1395"/>
    </row>
    <row r="50" spans="3:102" ht="14.25">
      <c r="G50" s="279"/>
      <c r="U50" s="275"/>
      <c r="V50" s="275"/>
      <c r="W50" s="275"/>
      <c r="X50" s="275"/>
      <c r="Y50" s="275"/>
      <c r="Z50" s="275"/>
      <c r="AA50" s="275"/>
      <c r="AB50" s="275"/>
      <c r="AC50" s="275"/>
      <c r="AD50" s="275"/>
      <c r="AE50" s="275"/>
      <c r="AF50" s="275"/>
      <c r="AG50" s="275"/>
      <c r="AH50" s="275"/>
      <c r="AI50" s="275"/>
      <c r="AJ50" s="275"/>
      <c r="AK50" s="275"/>
      <c r="AL50" s="275"/>
      <c r="AM50" s="275"/>
      <c r="AN50" s="275"/>
      <c r="BC50" s="1390"/>
      <c r="BD50" s="1328"/>
      <c r="BE50" s="1328"/>
      <c r="BF50" s="1328"/>
      <c r="BG50" s="1328"/>
      <c r="BH50" s="1328"/>
      <c r="BI50" s="1328"/>
      <c r="BJ50" s="1329"/>
      <c r="BK50" s="1329"/>
      <c r="BL50" s="1329"/>
      <c r="BM50" s="1329"/>
      <c r="BN50" s="1329"/>
      <c r="BO50" s="1329"/>
      <c r="BP50" s="1329"/>
      <c r="BQ50" s="1329"/>
      <c r="BR50" s="1329"/>
      <c r="BS50" s="1329"/>
      <c r="BT50" s="1329"/>
      <c r="BU50" s="1329"/>
      <c r="BV50" s="1329"/>
      <c r="BW50" s="1329"/>
      <c r="BX50" s="1329"/>
      <c r="BY50" s="1330"/>
      <c r="BZ50" s="1330"/>
      <c r="CA50" s="1330"/>
      <c r="CB50" s="1330"/>
      <c r="CC50" s="1330"/>
      <c r="CD50" s="1330"/>
      <c r="CE50" s="1330"/>
      <c r="CF50" s="1330"/>
      <c r="CG50" s="1330"/>
      <c r="CH50" s="1330"/>
      <c r="CI50" s="1330"/>
      <c r="CJ50" s="1330"/>
      <c r="CK50" s="1330"/>
      <c r="CL50" s="1330"/>
      <c r="CM50" s="1330"/>
      <c r="CN50" s="1330"/>
      <c r="CO50" s="1330"/>
      <c r="CP50" s="1330"/>
      <c r="CQ50" s="1330"/>
      <c r="CR50" s="1330"/>
      <c r="CS50" s="1330"/>
      <c r="CT50" s="1330"/>
      <c r="CU50" s="1330"/>
      <c r="CV50" s="1330"/>
      <c r="CW50" s="1330"/>
      <c r="CX50" s="1395"/>
    </row>
    <row r="51" spans="3:102" ht="14.25">
      <c r="G51" s="281"/>
      <c r="H51" s="1404" t="s">
        <v>2794</v>
      </c>
      <c r="I51" s="1405"/>
      <c r="J51" s="1405"/>
      <c r="K51" s="1405"/>
      <c r="L51" s="1405"/>
      <c r="M51" s="1405"/>
      <c r="N51" s="1405"/>
      <c r="O51" s="1405"/>
      <c r="P51" s="1405"/>
      <c r="Q51" s="1405"/>
      <c r="R51" s="1405"/>
      <c r="S51" s="1406"/>
      <c r="U51" s="1368"/>
      <c r="V51" s="1368"/>
      <c r="W51" s="1368"/>
      <c r="X51" s="1368"/>
      <c r="Y51" s="1368"/>
      <c r="Z51" s="1368"/>
      <c r="AA51" s="1368"/>
      <c r="AB51" s="1368"/>
      <c r="AC51" s="1368"/>
      <c r="AD51" s="1368"/>
      <c r="AE51" s="1368"/>
      <c r="AF51" s="1368"/>
      <c r="AG51" s="1368"/>
      <c r="AH51" s="1368"/>
      <c r="AI51" s="1368"/>
      <c r="AJ51" s="1368"/>
      <c r="AK51" s="1368"/>
      <c r="AL51" s="1368"/>
      <c r="AM51" s="1368"/>
      <c r="AN51" s="1368"/>
      <c r="BC51" s="1390" t="s">
        <v>2795</v>
      </c>
      <c r="BD51" s="1328"/>
      <c r="BE51" s="1328"/>
      <c r="BF51" s="1328"/>
      <c r="BG51" s="1328"/>
      <c r="BH51" s="1328"/>
      <c r="BI51" s="1328"/>
      <c r="BJ51" s="1329"/>
      <c r="BK51" s="1329"/>
      <c r="BL51" s="1329"/>
      <c r="BM51" s="1329"/>
      <c r="BN51" s="1329"/>
      <c r="BO51" s="1329"/>
      <c r="BP51" s="1329"/>
      <c r="BQ51" s="1329"/>
      <c r="BR51" s="1329"/>
      <c r="BS51" s="1329"/>
      <c r="BT51" s="1329"/>
      <c r="BU51" s="1329"/>
      <c r="BV51" s="1329"/>
      <c r="BW51" s="1329"/>
      <c r="BX51" s="1329"/>
      <c r="BY51" s="1330"/>
      <c r="BZ51" s="1330"/>
      <c r="CA51" s="1330"/>
      <c r="CB51" s="1330"/>
      <c r="CC51" s="1330"/>
      <c r="CD51" s="1330"/>
      <c r="CE51" s="1330"/>
      <c r="CF51" s="1330"/>
      <c r="CG51" s="1330"/>
      <c r="CH51" s="1330"/>
      <c r="CI51" s="1330"/>
      <c r="CJ51" s="1330"/>
      <c r="CK51" s="1330"/>
      <c r="CL51" s="1330"/>
      <c r="CM51" s="1330"/>
      <c r="CN51" s="1330"/>
      <c r="CO51" s="1330"/>
      <c r="CP51" s="1330"/>
      <c r="CQ51" s="1330"/>
      <c r="CR51" s="1330"/>
      <c r="CS51" s="1330"/>
      <c r="CT51" s="1330"/>
      <c r="CU51" s="1330"/>
      <c r="CV51" s="1330"/>
      <c r="CW51" s="1330"/>
      <c r="CX51" s="1395"/>
    </row>
    <row r="52" spans="3:102" ht="14.25">
      <c r="H52" s="1407"/>
      <c r="I52" s="1408"/>
      <c r="J52" s="1408"/>
      <c r="K52" s="1408"/>
      <c r="L52" s="1408"/>
      <c r="M52" s="1408"/>
      <c r="N52" s="1408"/>
      <c r="O52" s="1408"/>
      <c r="P52" s="1408"/>
      <c r="Q52" s="1408"/>
      <c r="R52" s="1408"/>
      <c r="S52" s="1409"/>
      <c r="U52" s="1368"/>
      <c r="V52" s="1368"/>
      <c r="W52" s="1368"/>
      <c r="X52" s="1368"/>
      <c r="Y52" s="1368"/>
      <c r="Z52" s="1368"/>
      <c r="AA52" s="1368"/>
      <c r="AB52" s="1368"/>
      <c r="AC52" s="1368"/>
      <c r="AD52" s="1368"/>
      <c r="AE52" s="1368"/>
      <c r="AF52" s="1368"/>
      <c r="AG52" s="1368"/>
      <c r="AH52" s="1368"/>
      <c r="AI52" s="1368"/>
      <c r="AJ52" s="1368"/>
      <c r="AK52" s="1368"/>
      <c r="AL52" s="1368"/>
      <c r="AM52" s="1368"/>
      <c r="AN52" s="1368"/>
      <c r="BC52" s="1390"/>
      <c r="BD52" s="1328"/>
      <c r="BE52" s="1328"/>
      <c r="BF52" s="1328"/>
      <c r="BG52" s="1328"/>
      <c r="BH52" s="1328"/>
      <c r="BI52" s="1328"/>
      <c r="BJ52" s="1329"/>
      <c r="BK52" s="1329"/>
      <c r="BL52" s="1329"/>
      <c r="BM52" s="1329"/>
      <c r="BN52" s="1329"/>
      <c r="BO52" s="1329"/>
      <c r="BP52" s="1329"/>
      <c r="BQ52" s="1329"/>
      <c r="BR52" s="1329"/>
      <c r="BS52" s="1329"/>
      <c r="BT52" s="1329"/>
      <c r="BU52" s="1329"/>
      <c r="BV52" s="1329"/>
      <c r="BW52" s="1329"/>
      <c r="BX52" s="1329"/>
      <c r="BY52" s="1330"/>
      <c r="BZ52" s="1330"/>
      <c r="CA52" s="1330"/>
      <c r="CB52" s="1330"/>
      <c r="CC52" s="1330"/>
      <c r="CD52" s="1330"/>
      <c r="CE52" s="1330"/>
      <c r="CF52" s="1330"/>
      <c r="CG52" s="1330"/>
      <c r="CH52" s="1330"/>
      <c r="CI52" s="1330"/>
      <c r="CJ52" s="1330"/>
      <c r="CK52" s="1330"/>
      <c r="CL52" s="1330"/>
      <c r="CM52" s="1330"/>
      <c r="CN52" s="1330"/>
      <c r="CO52" s="1330"/>
      <c r="CP52" s="1330"/>
      <c r="CQ52" s="1330"/>
      <c r="CR52" s="1330"/>
      <c r="CS52" s="1330"/>
      <c r="CT52" s="1330"/>
      <c r="CU52" s="1330"/>
      <c r="CV52" s="1330"/>
      <c r="CW52" s="1330"/>
      <c r="CX52" s="1395"/>
    </row>
    <row r="53" spans="3:102" ht="14.25">
      <c r="BC53" s="1390" t="s">
        <v>22</v>
      </c>
      <c r="BD53" s="1328"/>
      <c r="BE53" s="1328"/>
      <c r="BF53" s="1328"/>
      <c r="BG53" s="1328"/>
      <c r="BH53" s="1328"/>
      <c r="BI53" s="1328"/>
      <c r="BJ53" s="1329"/>
      <c r="BK53" s="1329"/>
      <c r="BL53" s="1329"/>
      <c r="BM53" s="1329"/>
      <c r="BN53" s="1329"/>
      <c r="BO53" s="1329"/>
      <c r="BP53" s="1329"/>
      <c r="BQ53" s="1329"/>
      <c r="BR53" s="1329"/>
      <c r="BS53" s="1329"/>
      <c r="BT53" s="1329"/>
      <c r="BU53" s="1329"/>
      <c r="BV53" s="1329"/>
      <c r="BW53" s="1329"/>
      <c r="BX53" s="1329"/>
      <c r="BY53" s="1330"/>
      <c r="BZ53" s="1330"/>
      <c r="CA53" s="1330"/>
      <c r="CB53" s="1330"/>
      <c r="CC53" s="1330"/>
      <c r="CD53" s="1330"/>
      <c r="CE53" s="1330"/>
      <c r="CF53" s="1330"/>
      <c r="CG53" s="1330"/>
      <c r="CH53" s="1330"/>
      <c r="CI53" s="1330"/>
      <c r="CJ53" s="1330"/>
      <c r="CK53" s="1330"/>
      <c r="CL53" s="1330"/>
      <c r="CM53" s="1330"/>
      <c r="CN53" s="1330"/>
      <c r="CO53" s="1330"/>
      <c r="CP53" s="1330"/>
      <c r="CQ53" s="1330"/>
      <c r="CR53" s="1330"/>
      <c r="CS53" s="1330"/>
      <c r="CT53" s="1330"/>
      <c r="CU53" s="1330"/>
      <c r="CV53" s="1330"/>
      <c r="CW53" s="1330"/>
      <c r="CX53" s="1395"/>
    </row>
    <row r="54" spans="3:102" ht="14.25">
      <c r="BC54" s="1390"/>
      <c r="BD54" s="1328"/>
      <c r="BE54" s="1328"/>
      <c r="BF54" s="1328"/>
      <c r="BG54" s="1328"/>
      <c r="BH54" s="1328"/>
      <c r="BI54" s="1328"/>
      <c r="BJ54" s="1329"/>
      <c r="BK54" s="1329"/>
      <c r="BL54" s="1329"/>
      <c r="BM54" s="1329"/>
      <c r="BN54" s="1329"/>
      <c r="BO54" s="1329"/>
      <c r="BP54" s="1329"/>
      <c r="BQ54" s="1329"/>
      <c r="BR54" s="1329"/>
      <c r="BS54" s="1329"/>
      <c r="BT54" s="1329"/>
      <c r="BU54" s="1329"/>
      <c r="BV54" s="1329"/>
      <c r="BW54" s="1329"/>
      <c r="BX54" s="1329"/>
      <c r="BY54" s="1330"/>
      <c r="BZ54" s="1330"/>
      <c r="CA54" s="1330"/>
      <c r="CB54" s="1330"/>
      <c r="CC54" s="1330"/>
      <c r="CD54" s="1330"/>
      <c r="CE54" s="1330"/>
      <c r="CF54" s="1330"/>
      <c r="CG54" s="1330"/>
      <c r="CH54" s="1330"/>
      <c r="CI54" s="1330"/>
      <c r="CJ54" s="1330"/>
      <c r="CK54" s="1330"/>
      <c r="CL54" s="1330"/>
      <c r="CM54" s="1330"/>
      <c r="CN54" s="1330"/>
      <c r="CO54" s="1330"/>
      <c r="CP54" s="1330"/>
      <c r="CQ54" s="1330"/>
      <c r="CR54" s="1330"/>
      <c r="CS54" s="1330"/>
      <c r="CT54" s="1330"/>
      <c r="CU54" s="1330"/>
      <c r="CV54" s="1330"/>
      <c r="CW54" s="1330"/>
      <c r="CX54" s="1395"/>
    </row>
    <row r="55" spans="3:102" ht="14.25">
      <c r="BC55" s="1390" t="s">
        <v>2796</v>
      </c>
      <c r="BD55" s="1328"/>
      <c r="BE55" s="1328"/>
      <c r="BF55" s="1328"/>
      <c r="BG55" s="1328"/>
      <c r="BH55" s="1328"/>
      <c r="BI55" s="1328"/>
      <c r="BJ55" s="1396"/>
      <c r="BK55" s="1396"/>
      <c r="BL55" s="1396"/>
      <c r="BM55" s="1396"/>
      <c r="BN55" s="1396"/>
      <c r="BO55" s="1396"/>
      <c r="BP55" s="1396"/>
      <c r="BQ55" s="1396"/>
      <c r="BR55" s="1396"/>
      <c r="BS55" s="1396"/>
      <c r="BT55" s="1396"/>
      <c r="BU55" s="1396"/>
      <c r="BV55" s="1396"/>
      <c r="BW55" s="1396"/>
      <c r="BX55" s="1396"/>
      <c r="BY55" s="1330" t="s">
        <v>2797</v>
      </c>
      <c r="BZ55" s="1330"/>
      <c r="CA55" s="1330"/>
      <c r="CB55" s="1330"/>
      <c r="CC55" s="1330"/>
      <c r="CD55" s="1330"/>
      <c r="CE55" s="1330"/>
      <c r="CF55" s="1330"/>
      <c r="CG55" s="1330"/>
      <c r="CH55" s="1330"/>
      <c r="CI55" s="1330"/>
      <c r="CJ55" s="1330"/>
      <c r="CK55" s="1330"/>
      <c r="CL55" s="1330"/>
      <c r="CM55" s="1330"/>
      <c r="CN55" s="1330"/>
      <c r="CO55" s="1330"/>
      <c r="CP55" s="1330"/>
      <c r="CQ55" s="1330"/>
      <c r="CR55" s="1330"/>
      <c r="CS55" s="1330"/>
      <c r="CT55" s="1330"/>
      <c r="CU55" s="1330"/>
      <c r="CV55" s="1330"/>
      <c r="CW55" s="1330"/>
      <c r="CX55" s="1395"/>
    </row>
    <row r="56" spans="3:102" ht="15" thickBot="1">
      <c r="BC56" s="1390"/>
      <c r="BD56" s="1328"/>
      <c r="BE56" s="1328"/>
      <c r="BF56" s="1328"/>
      <c r="BG56" s="1328"/>
      <c r="BH56" s="1328"/>
      <c r="BI56" s="1328"/>
      <c r="BJ56" s="1396"/>
      <c r="BK56" s="1396"/>
      <c r="BL56" s="1396"/>
      <c r="BM56" s="1396"/>
      <c r="BN56" s="1396"/>
      <c r="BO56" s="1396"/>
      <c r="BP56" s="1396"/>
      <c r="BQ56" s="1396"/>
      <c r="BR56" s="1396"/>
      <c r="BS56" s="1396"/>
      <c r="BT56" s="1396"/>
      <c r="BU56" s="1396"/>
      <c r="BV56" s="1396"/>
      <c r="BW56" s="1396"/>
      <c r="BX56" s="1396"/>
      <c r="BY56" s="1330"/>
      <c r="BZ56" s="1330"/>
      <c r="CA56" s="1330"/>
      <c r="CB56" s="1330"/>
      <c r="CC56" s="1330"/>
      <c r="CD56" s="1330"/>
      <c r="CE56" s="1330"/>
      <c r="CF56" s="1330"/>
      <c r="CG56" s="1330"/>
      <c r="CH56" s="1330"/>
      <c r="CI56" s="1330"/>
      <c r="CJ56" s="1330"/>
      <c r="CK56" s="1330"/>
      <c r="CL56" s="1330"/>
      <c r="CM56" s="1330"/>
      <c r="CN56" s="1330"/>
      <c r="CO56" s="1330"/>
      <c r="CP56" s="1330"/>
      <c r="CQ56" s="1330"/>
      <c r="CR56" s="1330"/>
      <c r="CS56" s="1330"/>
      <c r="CT56" s="1330"/>
      <c r="CU56" s="1330"/>
      <c r="CV56" s="1330"/>
      <c r="CW56" s="1330"/>
      <c r="CX56" s="1395"/>
    </row>
    <row r="57" spans="3:102" ht="15" thickTop="1">
      <c r="C57" s="1431" t="s">
        <v>2798</v>
      </c>
      <c r="D57" s="1432"/>
      <c r="E57" s="1432"/>
      <c r="F57" s="1432"/>
      <c r="G57" s="1432"/>
      <c r="H57" s="1432"/>
      <c r="I57" s="1432"/>
      <c r="J57" s="1432"/>
      <c r="K57" s="1433"/>
      <c r="BC57" s="1390" t="s">
        <v>623</v>
      </c>
      <c r="BD57" s="1328"/>
      <c r="BE57" s="1328"/>
      <c r="BF57" s="1328"/>
      <c r="BG57" s="1328"/>
      <c r="BH57" s="1328"/>
      <c r="BI57" s="1328"/>
      <c r="BJ57" s="1329"/>
      <c r="BK57" s="1329"/>
      <c r="BL57" s="1329"/>
      <c r="BM57" s="1329"/>
      <c r="BN57" s="1329"/>
      <c r="BO57" s="1329"/>
      <c r="BP57" s="1329"/>
      <c r="BQ57" s="1329"/>
      <c r="BR57" s="1329"/>
      <c r="BS57" s="1329"/>
      <c r="BT57" s="1329"/>
      <c r="BU57" s="1329"/>
      <c r="BV57" s="1329"/>
      <c r="BW57" s="1329"/>
      <c r="BX57" s="1329"/>
      <c r="BY57" s="1330" t="s">
        <v>2799</v>
      </c>
      <c r="BZ57" s="1330"/>
      <c r="CA57" s="1330"/>
      <c r="CB57" s="1330"/>
      <c r="CC57" s="1330"/>
      <c r="CD57" s="1330"/>
      <c r="CE57" s="1330"/>
      <c r="CF57" s="1330"/>
      <c r="CG57" s="1330"/>
      <c r="CH57" s="1330"/>
      <c r="CI57" s="1330"/>
      <c r="CJ57" s="1330"/>
      <c r="CK57" s="1330"/>
      <c r="CL57" s="1330"/>
      <c r="CM57" s="1330"/>
      <c r="CN57" s="1330"/>
      <c r="CO57" s="1330"/>
      <c r="CP57" s="1330"/>
      <c r="CQ57" s="1330"/>
      <c r="CR57" s="1330"/>
      <c r="CS57" s="1330"/>
      <c r="CT57" s="1330"/>
      <c r="CU57" s="1330"/>
      <c r="CV57" s="1330"/>
      <c r="CW57" s="1330"/>
      <c r="CX57" s="1395"/>
    </row>
    <row r="58" spans="3:102" ht="14.25">
      <c r="C58" s="1434"/>
      <c r="D58" s="1312"/>
      <c r="E58" s="1312"/>
      <c r="F58" s="1312"/>
      <c r="G58" s="1312"/>
      <c r="H58" s="1312"/>
      <c r="I58" s="1312"/>
      <c r="J58" s="1312"/>
      <c r="K58" s="1435"/>
      <c r="L58" s="267"/>
      <c r="M58" s="267"/>
      <c r="N58" s="267"/>
      <c r="BC58" s="1390"/>
      <c r="BD58" s="1328"/>
      <c r="BE58" s="1328"/>
      <c r="BF58" s="1328"/>
      <c r="BG58" s="1328"/>
      <c r="BH58" s="1328"/>
      <c r="BI58" s="1328"/>
      <c r="BJ58" s="1329"/>
      <c r="BK58" s="1329"/>
      <c r="BL58" s="1329"/>
      <c r="BM58" s="1329"/>
      <c r="BN58" s="1329"/>
      <c r="BO58" s="1329"/>
      <c r="BP58" s="1329"/>
      <c r="BQ58" s="1329"/>
      <c r="BR58" s="1329"/>
      <c r="BS58" s="1329"/>
      <c r="BT58" s="1329"/>
      <c r="BU58" s="1329"/>
      <c r="BV58" s="1329"/>
      <c r="BW58" s="1329"/>
      <c r="BX58" s="1329"/>
      <c r="BY58" s="1330"/>
      <c r="BZ58" s="1330"/>
      <c r="CA58" s="1330"/>
      <c r="CB58" s="1330"/>
      <c r="CC58" s="1330"/>
      <c r="CD58" s="1330"/>
      <c r="CE58" s="1330"/>
      <c r="CF58" s="1330"/>
      <c r="CG58" s="1330"/>
      <c r="CH58" s="1330"/>
      <c r="CI58" s="1330"/>
      <c r="CJ58" s="1330"/>
      <c r="CK58" s="1330"/>
      <c r="CL58" s="1330"/>
      <c r="CM58" s="1330"/>
      <c r="CN58" s="1330"/>
      <c r="CO58" s="1330"/>
      <c r="CP58" s="1330"/>
      <c r="CQ58" s="1330"/>
      <c r="CR58" s="1330"/>
      <c r="CS58" s="1330"/>
      <c r="CT58" s="1330"/>
      <c r="CU58" s="1330"/>
      <c r="CV58" s="1330"/>
      <c r="CW58" s="1330"/>
      <c r="CX58" s="1395"/>
    </row>
    <row r="59" spans="3:102" ht="15" thickBot="1">
      <c r="C59" s="1436"/>
      <c r="D59" s="1437"/>
      <c r="E59" s="1437"/>
      <c r="F59" s="1437"/>
      <c r="G59" s="1437"/>
      <c r="H59" s="1437"/>
      <c r="I59" s="1437"/>
      <c r="J59" s="1437"/>
      <c r="K59" s="1438"/>
      <c r="L59" s="267"/>
      <c r="M59" s="267"/>
      <c r="N59" s="267"/>
      <c r="BC59" s="1390" t="s">
        <v>2760</v>
      </c>
      <c r="BD59" s="1328"/>
      <c r="BE59" s="1328"/>
      <c r="BF59" s="1328"/>
      <c r="BG59" s="1328"/>
      <c r="BH59" s="1328"/>
      <c r="BI59" s="1328"/>
      <c r="BJ59" s="1439"/>
      <c r="BK59" s="1329"/>
      <c r="BL59" s="1329"/>
      <c r="BM59" s="1329"/>
      <c r="BN59" s="1329"/>
      <c r="BO59" s="1329"/>
      <c r="BP59" s="1329"/>
      <c r="BQ59" s="1329"/>
      <c r="BR59" s="1329"/>
      <c r="BS59" s="1329"/>
      <c r="BT59" s="1329"/>
      <c r="BU59" s="1329"/>
      <c r="BV59" s="1329"/>
      <c r="BW59" s="1329"/>
      <c r="BX59" s="1329"/>
      <c r="BY59" s="1330" t="s">
        <v>2800</v>
      </c>
      <c r="BZ59" s="1330"/>
      <c r="CA59" s="1330"/>
      <c r="CB59" s="1330"/>
      <c r="CC59" s="1330"/>
      <c r="CD59" s="1330"/>
      <c r="CE59" s="1330"/>
      <c r="CF59" s="1330"/>
      <c r="CG59" s="1330"/>
      <c r="CH59" s="1330"/>
      <c r="CI59" s="1330"/>
      <c r="CJ59" s="1330"/>
      <c r="CK59" s="1330"/>
      <c r="CL59" s="1330"/>
      <c r="CM59" s="1330"/>
      <c r="CN59" s="1330"/>
      <c r="CO59" s="1330"/>
      <c r="CP59" s="1330"/>
      <c r="CQ59" s="1330"/>
      <c r="CR59" s="1330"/>
      <c r="CS59" s="1330"/>
      <c r="CT59" s="1330"/>
      <c r="CU59" s="1330"/>
      <c r="CV59" s="1330"/>
      <c r="CW59" s="1330"/>
      <c r="CX59" s="1395"/>
    </row>
    <row r="60" spans="3:102" ht="15" thickTop="1">
      <c r="E60" s="273"/>
      <c r="BC60" s="1390"/>
      <c r="BD60" s="1328"/>
      <c r="BE60" s="1328"/>
      <c r="BF60" s="1328"/>
      <c r="BG60" s="1328"/>
      <c r="BH60" s="1328"/>
      <c r="BI60" s="1328"/>
      <c r="BJ60" s="1329"/>
      <c r="BK60" s="1329"/>
      <c r="BL60" s="1329"/>
      <c r="BM60" s="1329"/>
      <c r="BN60" s="1329"/>
      <c r="BO60" s="1329"/>
      <c r="BP60" s="1329"/>
      <c r="BQ60" s="1329"/>
      <c r="BR60" s="1329"/>
      <c r="BS60" s="1329"/>
      <c r="BT60" s="1329"/>
      <c r="BU60" s="1329"/>
      <c r="BV60" s="1329"/>
      <c r="BW60" s="1329"/>
      <c r="BX60" s="1329"/>
      <c r="BY60" s="1330"/>
      <c r="BZ60" s="1330"/>
      <c r="CA60" s="1330"/>
      <c r="CB60" s="1330"/>
      <c r="CC60" s="1330"/>
      <c r="CD60" s="1330"/>
      <c r="CE60" s="1330"/>
      <c r="CF60" s="1330"/>
      <c r="CG60" s="1330"/>
      <c r="CH60" s="1330"/>
      <c r="CI60" s="1330"/>
      <c r="CJ60" s="1330"/>
      <c r="CK60" s="1330"/>
      <c r="CL60" s="1330"/>
      <c r="CM60" s="1330"/>
      <c r="CN60" s="1330"/>
      <c r="CO60" s="1330"/>
      <c r="CP60" s="1330"/>
      <c r="CQ60" s="1330"/>
      <c r="CR60" s="1330"/>
      <c r="CS60" s="1330"/>
      <c r="CT60" s="1330"/>
      <c r="CU60" s="1330"/>
      <c r="CV60" s="1330"/>
      <c r="CW60" s="1330"/>
      <c r="CX60" s="1395"/>
    </row>
    <row r="61" spans="3:102" ht="14.25">
      <c r="E61" s="273"/>
      <c r="F61" s="267"/>
      <c r="BC61" s="1390" t="s">
        <v>2801</v>
      </c>
      <c r="BD61" s="1328"/>
      <c r="BE61" s="1328"/>
      <c r="BF61" s="1328"/>
      <c r="BG61" s="1328"/>
      <c r="BH61" s="1328"/>
      <c r="BI61" s="1328"/>
      <c r="BJ61" s="1329"/>
      <c r="BK61" s="1329"/>
      <c r="BL61" s="1329"/>
      <c r="BM61" s="1329"/>
      <c r="BN61" s="1329"/>
      <c r="BO61" s="1329"/>
      <c r="BP61" s="1329"/>
      <c r="BQ61" s="1329"/>
      <c r="BR61" s="1329"/>
      <c r="BS61" s="1329"/>
      <c r="BT61" s="1329"/>
      <c r="BU61" s="1329"/>
      <c r="BV61" s="1329"/>
      <c r="BW61" s="1329"/>
      <c r="BX61" s="1329"/>
      <c r="BY61" s="1330" t="s">
        <v>2802</v>
      </c>
      <c r="BZ61" s="1330"/>
      <c r="CA61" s="1330"/>
      <c r="CB61" s="1330"/>
      <c r="CC61" s="1330"/>
      <c r="CD61" s="1330"/>
      <c r="CE61" s="1330"/>
      <c r="CF61" s="1330"/>
      <c r="CG61" s="1330"/>
      <c r="CH61" s="1330"/>
      <c r="CI61" s="1330"/>
      <c r="CJ61" s="1330"/>
      <c r="CK61" s="1330"/>
      <c r="CL61" s="1330"/>
      <c r="CM61" s="1330"/>
      <c r="CN61" s="1330"/>
      <c r="CO61" s="1330"/>
      <c r="CP61" s="1330"/>
      <c r="CQ61" s="1330"/>
      <c r="CR61" s="1330"/>
      <c r="CS61" s="1330"/>
      <c r="CT61" s="1330"/>
      <c r="CU61" s="1330"/>
      <c r="CV61" s="1330"/>
      <c r="CW61" s="1330"/>
      <c r="CX61" s="1395"/>
    </row>
    <row r="62" spans="3:102" ht="14.25">
      <c r="E62" s="274"/>
      <c r="F62" s="1420" t="s">
        <v>2803</v>
      </c>
      <c r="G62" s="1421"/>
      <c r="H62" s="1421"/>
      <c r="I62" s="1421"/>
      <c r="J62" s="1421"/>
      <c r="K62" s="1421"/>
      <c r="L62" s="1421"/>
      <c r="M62" s="1421"/>
      <c r="N62" s="1421"/>
      <c r="O62" s="1421"/>
      <c r="P62" s="1421"/>
      <c r="Q62" s="1421"/>
      <c r="R62" s="1421"/>
      <c r="S62" s="1422"/>
      <c r="U62" s="1368" t="s">
        <v>2753</v>
      </c>
      <c r="V62" s="1368"/>
      <c r="W62" s="1368"/>
      <c r="X62" s="1368"/>
      <c r="Y62" s="1368"/>
      <c r="Z62" s="1368"/>
      <c r="AA62" s="1368"/>
      <c r="AB62" s="1368"/>
      <c r="AC62" s="1368"/>
      <c r="AD62" s="1368"/>
      <c r="AE62" s="1368"/>
      <c r="AF62" s="1368"/>
      <c r="AG62" s="1368"/>
      <c r="AH62" s="1368"/>
      <c r="AI62" s="1368"/>
      <c r="AJ62" s="1368"/>
      <c r="AK62" s="1368"/>
      <c r="AL62" s="1368"/>
      <c r="AM62" s="1368"/>
      <c r="AN62" s="1368"/>
      <c r="BC62" s="1390"/>
      <c r="BD62" s="1328"/>
      <c r="BE62" s="1328"/>
      <c r="BF62" s="1328"/>
      <c r="BG62" s="1328"/>
      <c r="BH62" s="1328"/>
      <c r="BI62" s="1328"/>
      <c r="BJ62" s="1329"/>
      <c r="BK62" s="1329"/>
      <c r="BL62" s="1329"/>
      <c r="BM62" s="1329"/>
      <c r="BN62" s="1329"/>
      <c r="BO62" s="1329"/>
      <c r="BP62" s="1329"/>
      <c r="BQ62" s="1329"/>
      <c r="BR62" s="1329"/>
      <c r="BS62" s="1329"/>
      <c r="BT62" s="1329"/>
      <c r="BU62" s="1329"/>
      <c r="BV62" s="1329"/>
      <c r="BW62" s="1329"/>
      <c r="BX62" s="1329"/>
      <c r="BY62" s="1330"/>
      <c r="BZ62" s="1330"/>
      <c r="CA62" s="1330"/>
      <c r="CB62" s="1330"/>
      <c r="CC62" s="1330"/>
      <c r="CD62" s="1330"/>
      <c r="CE62" s="1330"/>
      <c r="CF62" s="1330"/>
      <c r="CG62" s="1330"/>
      <c r="CH62" s="1330"/>
      <c r="CI62" s="1330"/>
      <c r="CJ62" s="1330"/>
      <c r="CK62" s="1330"/>
      <c r="CL62" s="1330"/>
      <c r="CM62" s="1330"/>
      <c r="CN62" s="1330"/>
      <c r="CO62" s="1330"/>
      <c r="CP62" s="1330"/>
      <c r="CQ62" s="1330"/>
      <c r="CR62" s="1330"/>
      <c r="CS62" s="1330"/>
      <c r="CT62" s="1330"/>
      <c r="CU62" s="1330"/>
      <c r="CV62" s="1330"/>
      <c r="CW62" s="1330"/>
      <c r="CX62" s="1395"/>
    </row>
    <row r="63" spans="3:102" ht="14.25">
      <c r="E63" s="273"/>
      <c r="F63" s="1423"/>
      <c r="G63" s="1424"/>
      <c r="H63" s="1424"/>
      <c r="I63" s="1424"/>
      <c r="J63" s="1424"/>
      <c r="K63" s="1424"/>
      <c r="L63" s="1424"/>
      <c r="M63" s="1424"/>
      <c r="N63" s="1424"/>
      <c r="O63" s="1424"/>
      <c r="P63" s="1424"/>
      <c r="Q63" s="1424"/>
      <c r="R63" s="1424"/>
      <c r="S63" s="1425"/>
      <c r="U63" s="1368"/>
      <c r="V63" s="1368"/>
      <c r="W63" s="1368"/>
      <c r="X63" s="1368"/>
      <c r="Y63" s="1368"/>
      <c r="Z63" s="1368"/>
      <c r="AA63" s="1368"/>
      <c r="AB63" s="1368"/>
      <c r="AC63" s="1368"/>
      <c r="AD63" s="1368"/>
      <c r="AE63" s="1368"/>
      <c r="AF63" s="1368"/>
      <c r="AG63" s="1368"/>
      <c r="AH63" s="1368"/>
      <c r="AI63" s="1368"/>
      <c r="AJ63" s="1368"/>
      <c r="AK63" s="1368"/>
      <c r="AL63" s="1368"/>
      <c r="AM63" s="1368"/>
      <c r="AN63" s="1368"/>
      <c r="BC63" s="1390" t="s">
        <v>2755</v>
      </c>
      <c r="BD63" s="1328"/>
      <c r="BE63" s="1328"/>
      <c r="BF63" s="1328"/>
      <c r="BG63" s="1328"/>
      <c r="BH63" s="1328"/>
      <c r="BI63" s="1328"/>
      <c r="BJ63" s="1329"/>
      <c r="BK63" s="1329"/>
      <c r="BL63" s="1329"/>
      <c r="BM63" s="1329"/>
      <c r="BN63" s="1329"/>
      <c r="BO63" s="1329"/>
      <c r="BP63" s="1329"/>
      <c r="BQ63" s="1329"/>
      <c r="BR63" s="1329"/>
      <c r="BS63" s="1329"/>
      <c r="BT63" s="1329"/>
      <c r="BU63" s="1329"/>
      <c r="BV63" s="1329"/>
      <c r="BW63" s="1329"/>
      <c r="BX63" s="1329"/>
      <c r="BY63" s="1330" t="s">
        <v>2804</v>
      </c>
      <c r="BZ63" s="1330"/>
      <c r="CA63" s="1330"/>
      <c r="CB63" s="1330"/>
      <c r="CC63" s="1330"/>
      <c r="CD63" s="1330"/>
      <c r="CE63" s="1330"/>
      <c r="CF63" s="1330"/>
      <c r="CG63" s="1330"/>
      <c r="CH63" s="1330"/>
      <c r="CI63" s="1330"/>
      <c r="CJ63" s="1330"/>
      <c r="CK63" s="1330"/>
      <c r="CL63" s="1330"/>
      <c r="CM63" s="1330"/>
      <c r="CN63" s="1330"/>
      <c r="CO63" s="1330"/>
      <c r="CP63" s="1330"/>
      <c r="CQ63" s="1330"/>
      <c r="CR63" s="1330"/>
      <c r="CS63" s="1330"/>
      <c r="CT63" s="1330"/>
      <c r="CU63" s="1330"/>
      <c r="CV63" s="1330"/>
      <c r="CW63" s="1330"/>
      <c r="CX63" s="1395"/>
    </row>
    <row r="64" spans="3:102" ht="15" thickBot="1">
      <c r="E64" s="273"/>
      <c r="U64" s="282"/>
      <c r="V64" s="282"/>
      <c r="W64" s="282"/>
      <c r="X64" s="282"/>
      <c r="Y64" s="282"/>
      <c r="Z64" s="282"/>
      <c r="AA64" s="282"/>
      <c r="AB64" s="282"/>
      <c r="AC64" s="282"/>
      <c r="AD64" s="282"/>
      <c r="AE64" s="282"/>
      <c r="AF64" s="282"/>
      <c r="AG64" s="282"/>
      <c r="AH64" s="282"/>
      <c r="AI64" s="282"/>
      <c r="AJ64" s="282"/>
      <c r="AK64" s="282"/>
      <c r="AL64" s="282"/>
      <c r="AM64" s="282"/>
      <c r="AN64" s="282"/>
      <c r="BC64" s="1426"/>
      <c r="BD64" s="1427"/>
      <c r="BE64" s="1427"/>
      <c r="BF64" s="1427"/>
      <c r="BG64" s="1427"/>
      <c r="BH64" s="1427"/>
      <c r="BI64" s="1427"/>
      <c r="BJ64" s="1428"/>
      <c r="BK64" s="1428"/>
      <c r="BL64" s="1428"/>
      <c r="BM64" s="1428"/>
      <c r="BN64" s="1428"/>
      <c r="BO64" s="1428"/>
      <c r="BP64" s="1428"/>
      <c r="BQ64" s="1428"/>
      <c r="BR64" s="1428"/>
      <c r="BS64" s="1428"/>
      <c r="BT64" s="1428"/>
      <c r="BU64" s="1428"/>
      <c r="BV64" s="1428"/>
      <c r="BW64" s="1428"/>
      <c r="BX64" s="1428"/>
      <c r="BY64" s="1429"/>
      <c r="BZ64" s="1429"/>
      <c r="CA64" s="1429"/>
      <c r="CB64" s="1429"/>
      <c r="CC64" s="1429"/>
      <c r="CD64" s="1429"/>
      <c r="CE64" s="1429"/>
      <c r="CF64" s="1429"/>
      <c r="CG64" s="1429"/>
      <c r="CH64" s="1429"/>
      <c r="CI64" s="1429"/>
      <c r="CJ64" s="1429"/>
      <c r="CK64" s="1429"/>
      <c r="CL64" s="1429"/>
      <c r="CM64" s="1429"/>
      <c r="CN64" s="1429"/>
      <c r="CO64" s="1429"/>
      <c r="CP64" s="1429"/>
      <c r="CQ64" s="1429"/>
      <c r="CR64" s="1429"/>
      <c r="CS64" s="1429"/>
      <c r="CT64" s="1429"/>
      <c r="CU64" s="1429"/>
      <c r="CV64" s="1429"/>
      <c r="CW64" s="1429"/>
      <c r="CX64" s="1430"/>
    </row>
    <row r="65" spans="3:102" ht="15" thickTop="1">
      <c r="E65" s="274"/>
      <c r="F65" s="1382" t="s">
        <v>2805</v>
      </c>
      <c r="G65" s="1383"/>
      <c r="H65" s="1383"/>
      <c r="I65" s="1383"/>
      <c r="J65" s="1383"/>
      <c r="K65" s="1383"/>
      <c r="L65" s="1383"/>
      <c r="M65" s="1383"/>
      <c r="N65" s="1383"/>
      <c r="O65" s="1383"/>
      <c r="P65" s="1383"/>
      <c r="Q65" s="1384"/>
      <c r="U65" s="1368" t="s">
        <v>2763</v>
      </c>
      <c r="V65" s="1368"/>
      <c r="W65" s="1368"/>
      <c r="X65" s="1368"/>
      <c r="Y65" s="1368"/>
      <c r="Z65" s="1368"/>
      <c r="AA65" s="1368"/>
      <c r="AB65" s="1368"/>
      <c r="AC65" s="1368"/>
      <c r="AD65" s="1368"/>
      <c r="AE65" s="1368"/>
      <c r="AF65" s="1368"/>
      <c r="AG65" s="1368"/>
      <c r="AH65" s="1368"/>
      <c r="AI65" s="1368"/>
      <c r="AJ65" s="1368"/>
      <c r="AK65" s="1368"/>
      <c r="AL65" s="1368"/>
      <c r="AM65" s="1368"/>
      <c r="AN65" s="1368"/>
      <c r="AO65" s="1368"/>
      <c r="AP65" s="1368"/>
      <c r="AQ65" s="1368"/>
      <c r="AR65" s="1368"/>
      <c r="AS65" s="1368"/>
      <c r="BZ65" s="270"/>
      <c r="CA65" s="270"/>
      <c r="CB65" s="270"/>
      <c r="CC65" s="270"/>
      <c r="CD65" s="270"/>
      <c r="CE65" s="270"/>
      <c r="CF65" s="270"/>
      <c r="CG65" s="270"/>
      <c r="CH65" s="270"/>
      <c r="CI65" s="270"/>
      <c r="CJ65" s="270"/>
      <c r="CK65" s="270"/>
      <c r="CL65" s="270"/>
      <c r="CM65" s="270"/>
      <c r="CN65" s="270"/>
      <c r="CO65" s="270"/>
      <c r="CP65" s="270"/>
      <c r="CQ65" s="270"/>
      <c r="CR65" s="270"/>
      <c r="CS65" s="270"/>
      <c r="CT65" s="270"/>
      <c r="CU65" s="270"/>
      <c r="CV65" s="270"/>
      <c r="CW65" s="270"/>
      <c r="CX65" s="270"/>
    </row>
    <row r="66" spans="3:102" ht="15" thickBot="1">
      <c r="E66" s="273"/>
      <c r="F66" s="1385"/>
      <c r="G66" s="1386"/>
      <c r="H66" s="1386"/>
      <c r="I66" s="1386"/>
      <c r="J66" s="1386"/>
      <c r="K66" s="1386"/>
      <c r="L66" s="1386"/>
      <c r="M66" s="1386"/>
      <c r="N66" s="1386"/>
      <c r="O66" s="1386"/>
      <c r="P66" s="1386"/>
      <c r="Q66" s="1387"/>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270"/>
      <c r="CX66" s="270"/>
    </row>
    <row r="67" spans="3:102" ht="15" thickTop="1">
      <c r="E67" s="273"/>
      <c r="BC67" s="1445" t="s">
        <v>2806</v>
      </c>
      <c r="BD67" s="1446"/>
      <c r="BE67" s="1446"/>
      <c r="BF67" s="1446"/>
      <c r="BG67" s="1446"/>
      <c r="BH67" s="1446"/>
      <c r="BI67" s="1446"/>
      <c r="BJ67" s="283"/>
      <c r="BK67" s="283"/>
      <c r="BL67" s="283"/>
      <c r="BM67" s="283"/>
      <c r="BN67" s="283"/>
      <c r="BO67" s="283"/>
      <c r="BP67" s="283"/>
      <c r="BQ67" s="283"/>
      <c r="BR67" s="283"/>
      <c r="BS67" s="283"/>
      <c r="BT67" s="283"/>
      <c r="BU67" s="283"/>
      <c r="BV67" s="283"/>
      <c r="BW67" s="283"/>
      <c r="BX67" s="283"/>
      <c r="BY67" s="284"/>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5"/>
    </row>
    <row r="68" spans="3:102" ht="14.25">
      <c r="E68" s="274"/>
      <c r="F68" s="1362" t="s">
        <v>2756</v>
      </c>
      <c r="G68" s="1363"/>
      <c r="H68" s="1363"/>
      <c r="I68" s="1363"/>
      <c r="J68" s="1363"/>
      <c r="K68" s="1363"/>
      <c r="L68" s="1363"/>
      <c r="M68" s="1363"/>
      <c r="N68" s="1363"/>
      <c r="O68" s="1363"/>
      <c r="P68" s="1363"/>
      <c r="Q68" s="1364"/>
      <c r="U68" s="1368" t="s">
        <v>2757</v>
      </c>
      <c r="V68" s="1368"/>
      <c r="W68" s="1368"/>
      <c r="X68" s="1368"/>
      <c r="Y68" s="1368"/>
      <c r="Z68" s="1368"/>
      <c r="AA68" s="1368"/>
      <c r="AB68" s="1368"/>
      <c r="AC68" s="1368"/>
      <c r="AD68" s="1368"/>
      <c r="AE68" s="1368"/>
      <c r="AF68" s="1368"/>
      <c r="AG68" s="1368"/>
      <c r="AH68" s="1368"/>
      <c r="AI68" s="1368"/>
      <c r="AJ68" s="1368"/>
      <c r="AK68" s="1368"/>
      <c r="AL68" s="1368"/>
      <c r="AM68" s="1368"/>
      <c r="AN68" s="1368"/>
      <c r="BC68" s="1447"/>
      <c r="BD68" s="1448"/>
      <c r="BE68" s="1448"/>
      <c r="BF68" s="1448"/>
      <c r="BG68" s="1448"/>
      <c r="BH68" s="1448"/>
      <c r="BI68" s="1448"/>
      <c r="CX68" s="286"/>
    </row>
    <row r="69" spans="3:102" ht="14.25">
      <c r="E69" s="273"/>
      <c r="F69" s="1365"/>
      <c r="G69" s="1366"/>
      <c r="H69" s="1366"/>
      <c r="I69" s="1366"/>
      <c r="J69" s="1366"/>
      <c r="K69" s="1366"/>
      <c r="L69" s="1366"/>
      <c r="M69" s="1366"/>
      <c r="N69" s="1366"/>
      <c r="O69" s="1366"/>
      <c r="P69" s="1366"/>
      <c r="Q69" s="1367"/>
      <c r="U69" s="1368"/>
      <c r="V69" s="1368"/>
      <c r="W69" s="1368"/>
      <c r="X69" s="1368"/>
      <c r="Y69" s="1368"/>
      <c r="Z69" s="1368"/>
      <c r="AA69" s="1368"/>
      <c r="AB69" s="1368"/>
      <c r="AC69" s="1368"/>
      <c r="AD69" s="1368"/>
      <c r="AE69" s="1368"/>
      <c r="AF69" s="1368"/>
      <c r="AG69" s="1368"/>
      <c r="AH69" s="1368"/>
      <c r="AI69" s="1368"/>
      <c r="AJ69" s="1368"/>
      <c r="AK69" s="1368"/>
      <c r="AL69" s="1368"/>
      <c r="AM69" s="1368"/>
      <c r="AN69" s="1368"/>
      <c r="BC69" s="1397" t="s">
        <v>2807</v>
      </c>
      <c r="BD69" s="1398"/>
      <c r="BE69" s="1398"/>
      <c r="BF69" s="1398"/>
      <c r="BG69" s="1398"/>
      <c r="BH69" s="1398"/>
      <c r="BI69" s="1398"/>
      <c r="BJ69" s="1399" t="s">
        <v>374</v>
      </c>
      <c r="BK69" s="1401"/>
      <c r="BL69" s="1401"/>
      <c r="BM69" s="1401"/>
      <c r="BN69" s="1401"/>
      <c r="BO69" s="1401"/>
      <c r="BP69" s="1401"/>
      <c r="BQ69" s="1401"/>
      <c r="BR69" s="1401"/>
      <c r="BS69" s="1401"/>
      <c r="BT69" s="1401"/>
      <c r="BU69" s="1401"/>
      <c r="BV69" s="1401"/>
      <c r="BW69" s="1401"/>
      <c r="BX69" s="1399" t="s">
        <v>375</v>
      </c>
      <c r="BY69" s="1330" t="s">
        <v>2808</v>
      </c>
      <c r="BZ69" s="1330"/>
      <c r="CA69" s="1330"/>
      <c r="CB69" s="1330"/>
      <c r="CC69" s="1330"/>
      <c r="CD69" s="1330"/>
      <c r="CE69" s="1330"/>
      <c r="CF69" s="1330"/>
      <c r="CG69" s="1330"/>
      <c r="CH69" s="1330"/>
      <c r="CI69" s="1330"/>
      <c r="CJ69" s="1330"/>
      <c r="CK69" s="1330"/>
      <c r="CL69" s="1330"/>
      <c r="CM69" s="1330"/>
      <c r="CN69" s="1330"/>
      <c r="CO69" s="1330"/>
      <c r="CP69" s="1330"/>
      <c r="CQ69" s="1330"/>
      <c r="CR69" s="1330"/>
      <c r="CS69" s="1330"/>
      <c r="CT69" s="1330"/>
      <c r="CU69" s="1330"/>
      <c r="CV69" s="1330"/>
      <c r="CW69" s="1330"/>
      <c r="CX69" s="1395"/>
    </row>
    <row r="70" spans="3:102" ht="14.25">
      <c r="E70" s="273"/>
      <c r="U70" s="275"/>
      <c r="V70" s="275"/>
      <c r="W70" s="275"/>
      <c r="X70" s="275"/>
      <c r="Y70" s="275"/>
      <c r="Z70" s="275"/>
      <c r="AA70" s="275"/>
      <c r="AB70" s="275"/>
      <c r="AC70" s="275"/>
      <c r="AD70" s="275"/>
      <c r="AE70" s="275"/>
      <c r="AF70" s="275"/>
      <c r="AG70" s="275"/>
      <c r="AH70" s="275"/>
      <c r="AI70" s="275"/>
      <c r="AJ70" s="275"/>
      <c r="AK70" s="275"/>
      <c r="AL70" s="275"/>
      <c r="AM70" s="275"/>
      <c r="AN70" s="275"/>
      <c r="BC70" s="1397"/>
      <c r="BD70" s="1398"/>
      <c r="BE70" s="1398"/>
      <c r="BF70" s="1398"/>
      <c r="BG70" s="1398"/>
      <c r="BH70" s="1398"/>
      <c r="BI70" s="1398"/>
      <c r="BJ70" s="1400"/>
      <c r="BK70" s="1402"/>
      <c r="BL70" s="1402"/>
      <c r="BM70" s="1402"/>
      <c r="BN70" s="1402"/>
      <c r="BO70" s="1402"/>
      <c r="BP70" s="1402"/>
      <c r="BQ70" s="1402"/>
      <c r="BR70" s="1402"/>
      <c r="BS70" s="1402"/>
      <c r="BT70" s="1402"/>
      <c r="BU70" s="1402"/>
      <c r="BV70" s="1402"/>
      <c r="BW70" s="1402"/>
      <c r="BX70" s="1400"/>
      <c r="BY70" s="1330"/>
      <c r="BZ70" s="1330"/>
      <c r="CA70" s="1330"/>
      <c r="CB70" s="1330"/>
      <c r="CC70" s="1330"/>
      <c r="CD70" s="1330"/>
      <c r="CE70" s="1330"/>
      <c r="CF70" s="1330"/>
      <c r="CG70" s="1330"/>
      <c r="CH70" s="1330"/>
      <c r="CI70" s="1330"/>
      <c r="CJ70" s="1330"/>
      <c r="CK70" s="1330"/>
      <c r="CL70" s="1330"/>
      <c r="CM70" s="1330"/>
      <c r="CN70" s="1330"/>
      <c r="CO70" s="1330"/>
      <c r="CP70" s="1330"/>
      <c r="CQ70" s="1330"/>
      <c r="CR70" s="1330"/>
      <c r="CS70" s="1330"/>
      <c r="CT70" s="1330"/>
      <c r="CU70" s="1330"/>
      <c r="CV70" s="1330"/>
      <c r="CW70" s="1330"/>
      <c r="CX70" s="1395"/>
    </row>
    <row r="71" spans="3:102" ht="14.25">
      <c r="E71" s="274"/>
      <c r="F71" s="1362" t="s">
        <v>2769</v>
      </c>
      <c r="G71" s="1363"/>
      <c r="H71" s="1363"/>
      <c r="I71" s="1363"/>
      <c r="J71" s="1363"/>
      <c r="K71" s="1363"/>
      <c r="L71" s="1363"/>
      <c r="M71" s="1363"/>
      <c r="N71" s="1363"/>
      <c r="O71" s="1363"/>
      <c r="P71" s="1363"/>
      <c r="Q71" s="1364"/>
      <c r="U71" s="1368"/>
      <c r="V71" s="1368"/>
      <c r="W71" s="1368"/>
      <c r="X71" s="1368"/>
      <c r="Y71" s="1368"/>
      <c r="Z71" s="1368"/>
      <c r="AA71" s="1368"/>
      <c r="AB71" s="1368"/>
      <c r="AC71" s="1368"/>
      <c r="AD71" s="1368"/>
      <c r="AE71" s="1368"/>
      <c r="AF71" s="1368"/>
      <c r="AG71" s="1368"/>
      <c r="AH71" s="1368"/>
      <c r="AI71" s="1368"/>
      <c r="AJ71" s="1368"/>
      <c r="AK71" s="1368"/>
      <c r="AL71" s="1368"/>
      <c r="AM71" s="1368"/>
      <c r="AN71" s="1368"/>
      <c r="BC71" s="1440" t="s">
        <v>2809</v>
      </c>
      <c r="BD71" s="1441"/>
      <c r="BE71" s="1441"/>
      <c r="BF71" s="1441"/>
      <c r="BG71" s="1441"/>
      <c r="BH71" s="1441"/>
      <c r="BI71" s="1441"/>
      <c r="BJ71" s="1392"/>
      <c r="BK71" s="1392"/>
      <c r="BL71" s="1392"/>
      <c r="BM71" s="1392"/>
      <c r="BN71" s="1392"/>
      <c r="BO71" s="1392"/>
      <c r="BP71" s="1392"/>
      <c r="BQ71" s="1392"/>
      <c r="BR71" s="1392"/>
      <c r="BS71" s="1392"/>
      <c r="BT71" s="1392"/>
      <c r="BU71" s="1392"/>
      <c r="BV71" s="1392"/>
      <c r="BW71" s="1392"/>
      <c r="BX71" s="1392"/>
      <c r="BY71" s="1330" t="s">
        <v>2765</v>
      </c>
      <c r="BZ71" s="1330"/>
      <c r="CA71" s="1330"/>
      <c r="CB71" s="1330"/>
      <c r="CC71" s="1330"/>
      <c r="CD71" s="1330"/>
      <c r="CE71" s="1330"/>
      <c r="CF71" s="1330"/>
      <c r="CG71" s="1330"/>
      <c r="CH71" s="1330"/>
      <c r="CI71" s="1330"/>
      <c r="CJ71" s="1330"/>
      <c r="CK71" s="1330"/>
      <c r="CL71" s="1330"/>
      <c r="CM71" s="1330"/>
      <c r="CN71" s="1330"/>
      <c r="CO71" s="1330"/>
      <c r="CP71" s="1330"/>
      <c r="CQ71" s="1330"/>
      <c r="CR71" s="1330"/>
      <c r="CS71" s="1330"/>
      <c r="CT71" s="1330"/>
      <c r="CU71" s="1330"/>
      <c r="CV71" s="1330"/>
      <c r="CW71" s="1330"/>
      <c r="CX71" s="1395"/>
    </row>
    <row r="72" spans="3:102" ht="15" thickBot="1">
      <c r="E72" s="273"/>
      <c r="F72" s="1365"/>
      <c r="G72" s="1366"/>
      <c r="H72" s="1366"/>
      <c r="I72" s="1366"/>
      <c r="J72" s="1366"/>
      <c r="K72" s="1366"/>
      <c r="L72" s="1366"/>
      <c r="M72" s="1366"/>
      <c r="N72" s="1366"/>
      <c r="O72" s="1366"/>
      <c r="P72" s="1366"/>
      <c r="Q72" s="1367"/>
      <c r="U72" s="1368"/>
      <c r="V72" s="1368"/>
      <c r="W72" s="1368"/>
      <c r="X72" s="1368"/>
      <c r="Y72" s="1368"/>
      <c r="Z72" s="1368"/>
      <c r="AA72" s="1368"/>
      <c r="AB72" s="1368"/>
      <c r="AC72" s="1368"/>
      <c r="AD72" s="1368"/>
      <c r="AE72" s="1368"/>
      <c r="AF72" s="1368"/>
      <c r="AG72" s="1368"/>
      <c r="AH72" s="1368"/>
      <c r="AI72" s="1368"/>
      <c r="AJ72" s="1368"/>
      <c r="AK72" s="1368"/>
      <c r="AL72" s="1368"/>
      <c r="AM72" s="1368"/>
      <c r="AN72" s="1368"/>
      <c r="BC72" s="1442"/>
      <c r="BD72" s="1443"/>
      <c r="BE72" s="1443"/>
      <c r="BF72" s="1443"/>
      <c r="BG72" s="1443"/>
      <c r="BH72" s="1443"/>
      <c r="BI72" s="1443"/>
      <c r="BJ72" s="1444"/>
      <c r="BK72" s="1444"/>
      <c r="BL72" s="1444"/>
      <c r="BM72" s="1444"/>
      <c r="BN72" s="1444"/>
      <c r="BO72" s="1444"/>
      <c r="BP72" s="1444"/>
      <c r="BQ72" s="1444"/>
      <c r="BR72" s="1444"/>
      <c r="BS72" s="1444"/>
      <c r="BT72" s="1444"/>
      <c r="BU72" s="1444"/>
      <c r="BV72" s="1444"/>
      <c r="BW72" s="1444"/>
      <c r="BX72" s="1444"/>
      <c r="BY72" s="1429"/>
      <c r="BZ72" s="1429"/>
      <c r="CA72" s="1429"/>
      <c r="CB72" s="1429"/>
      <c r="CC72" s="1429"/>
      <c r="CD72" s="1429"/>
      <c r="CE72" s="1429"/>
      <c r="CF72" s="1429"/>
      <c r="CG72" s="1429"/>
      <c r="CH72" s="1429"/>
      <c r="CI72" s="1429"/>
      <c r="CJ72" s="1429"/>
      <c r="CK72" s="1429"/>
      <c r="CL72" s="1429"/>
      <c r="CM72" s="1429"/>
      <c r="CN72" s="1429"/>
      <c r="CO72" s="1429"/>
      <c r="CP72" s="1429"/>
      <c r="CQ72" s="1429"/>
      <c r="CR72" s="1429"/>
      <c r="CS72" s="1429"/>
      <c r="CT72" s="1429"/>
      <c r="CU72" s="1429"/>
      <c r="CV72" s="1429"/>
      <c r="CW72" s="1429"/>
      <c r="CX72" s="1430"/>
    </row>
    <row r="73" spans="3:102" ht="15" thickTop="1">
      <c r="E73" s="273"/>
      <c r="U73" s="275"/>
      <c r="V73" s="275"/>
      <c r="W73" s="275"/>
      <c r="X73" s="275"/>
      <c r="Y73" s="275"/>
      <c r="Z73" s="275"/>
      <c r="AA73" s="275"/>
      <c r="AB73" s="275"/>
      <c r="AC73" s="275"/>
      <c r="AD73" s="275"/>
      <c r="AE73" s="275"/>
      <c r="AF73" s="275"/>
      <c r="AG73" s="275"/>
      <c r="AH73" s="275"/>
      <c r="AI73" s="275"/>
      <c r="AJ73" s="275"/>
      <c r="AK73" s="275"/>
      <c r="AL73" s="275"/>
      <c r="AM73" s="275"/>
      <c r="AN73" s="275"/>
    </row>
    <row r="74" spans="3:102" ht="14.25">
      <c r="E74" s="274"/>
      <c r="F74" s="1376" t="s">
        <v>2775</v>
      </c>
      <c r="G74" s="1377"/>
      <c r="H74" s="1377"/>
      <c r="I74" s="1377"/>
      <c r="J74" s="1377"/>
      <c r="K74" s="1377"/>
      <c r="L74" s="1377"/>
      <c r="M74" s="1377"/>
      <c r="N74" s="1377"/>
      <c r="O74" s="1377"/>
      <c r="P74" s="1377"/>
      <c r="Q74" s="1378"/>
      <c r="U74" s="1403" t="s">
        <v>2776</v>
      </c>
      <c r="V74" s="1403"/>
      <c r="W74" s="1403"/>
      <c r="X74" s="1403"/>
      <c r="Y74" s="1403"/>
      <c r="Z74" s="1403"/>
      <c r="AA74" s="1403"/>
      <c r="AB74" s="1403"/>
      <c r="AC74" s="1403"/>
      <c r="AD74" s="1403"/>
      <c r="AE74" s="1403"/>
      <c r="AF74" s="1403"/>
      <c r="AG74" s="1403"/>
      <c r="AH74" s="1403"/>
      <c r="AI74" s="1403"/>
      <c r="AJ74" s="1403"/>
      <c r="AK74" s="1403"/>
      <c r="AL74" s="1403"/>
      <c r="AM74" s="1403"/>
      <c r="AN74" s="1403"/>
      <c r="AO74" s="1403"/>
      <c r="AP74" s="1403"/>
      <c r="AQ74" s="1403"/>
      <c r="AR74" s="1403"/>
      <c r="AS74" s="1403"/>
    </row>
    <row r="75" spans="3:102" ht="14.25">
      <c r="F75" s="1379"/>
      <c r="G75" s="1380"/>
      <c r="H75" s="1380"/>
      <c r="I75" s="1380"/>
      <c r="J75" s="1380"/>
      <c r="K75" s="1380"/>
      <c r="L75" s="1380"/>
      <c r="M75" s="1380"/>
      <c r="N75" s="1380"/>
      <c r="O75" s="1380"/>
      <c r="P75" s="1380"/>
      <c r="Q75" s="1381"/>
      <c r="U75" s="1403"/>
      <c r="V75" s="1403"/>
      <c r="W75" s="1403"/>
      <c r="X75" s="1403"/>
      <c r="Y75" s="1403"/>
      <c r="Z75" s="1403"/>
      <c r="AA75" s="1403"/>
      <c r="AB75" s="1403"/>
      <c r="AC75" s="1403"/>
      <c r="AD75" s="1403"/>
      <c r="AE75" s="1403"/>
      <c r="AF75" s="1403"/>
      <c r="AG75" s="1403"/>
      <c r="AH75" s="1403"/>
      <c r="AI75" s="1403"/>
      <c r="AJ75" s="1403"/>
      <c r="AK75" s="1403"/>
      <c r="AL75" s="1403"/>
      <c r="AM75" s="1403"/>
      <c r="AN75" s="1403"/>
      <c r="AO75" s="1403"/>
      <c r="AP75" s="1403"/>
      <c r="AQ75" s="1403"/>
      <c r="AR75" s="1403"/>
      <c r="AS75" s="1403"/>
    </row>
    <row r="79" spans="3:102" ht="15" thickBot="1"/>
    <row r="80" spans="3:102" ht="15" thickTop="1">
      <c r="C80" s="1449" t="s">
        <v>2810</v>
      </c>
      <c r="D80" s="1450"/>
      <c r="E80" s="1450"/>
      <c r="F80" s="1450"/>
      <c r="G80" s="1450"/>
      <c r="H80" s="1450"/>
      <c r="I80" s="1450"/>
      <c r="J80" s="1450"/>
      <c r="K80" s="1451"/>
    </row>
    <row r="81" spans="3:54" ht="14.25">
      <c r="C81" s="1452"/>
      <c r="D81" s="1312"/>
      <c r="E81" s="1312"/>
      <c r="F81" s="1312"/>
      <c r="G81" s="1312"/>
      <c r="H81" s="1312"/>
      <c r="I81" s="1312"/>
      <c r="J81" s="1312"/>
      <c r="K81" s="1453"/>
    </row>
    <row r="82" spans="3:54" ht="15" thickBot="1">
      <c r="C82" s="1454"/>
      <c r="D82" s="1455"/>
      <c r="E82" s="1455"/>
      <c r="F82" s="1455"/>
      <c r="G82" s="1455"/>
      <c r="H82" s="1455"/>
      <c r="I82" s="1455"/>
      <c r="J82" s="1455"/>
      <c r="K82" s="1456"/>
    </row>
    <row r="83" spans="3:54" ht="15" thickTop="1">
      <c r="E83" s="287"/>
    </row>
    <row r="84" spans="3:54" ht="14.25">
      <c r="E84" s="288"/>
      <c r="F84" s="267"/>
    </row>
    <row r="85" spans="3:54" ht="14.25">
      <c r="E85" s="288"/>
      <c r="F85" s="1457" t="s">
        <v>2811</v>
      </c>
      <c r="G85" s="1458"/>
      <c r="H85" s="1458"/>
      <c r="I85" s="1458"/>
      <c r="J85" s="1458"/>
      <c r="K85" s="1458"/>
      <c r="L85" s="1458"/>
      <c r="M85" s="1458"/>
      <c r="N85" s="1458"/>
      <c r="O85" s="1458"/>
      <c r="P85" s="1458"/>
      <c r="Q85" s="1458"/>
      <c r="R85" s="1458"/>
      <c r="S85" s="1458"/>
      <c r="T85" s="1458"/>
      <c r="U85" s="1458"/>
      <c r="V85" s="1458"/>
      <c r="W85" s="1458"/>
      <c r="X85" s="1458"/>
      <c r="Y85" s="1458"/>
      <c r="Z85" s="1459"/>
      <c r="AB85" s="1463" t="s">
        <v>2753</v>
      </c>
      <c r="AC85" s="1463"/>
      <c r="AD85" s="1463"/>
      <c r="AE85" s="1463"/>
      <c r="AF85" s="1463"/>
      <c r="AG85" s="1463"/>
      <c r="AH85" s="1463"/>
      <c r="AI85" s="1463"/>
      <c r="AJ85" s="1463"/>
      <c r="AK85" s="1463"/>
      <c r="AL85" s="1463"/>
      <c r="AM85" s="1463"/>
      <c r="AN85" s="1463"/>
      <c r="AO85" s="1463"/>
      <c r="AP85" s="1463"/>
      <c r="AQ85" s="1463"/>
      <c r="AR85" s="1463"/>
      <c r="AS85" s="1463"/>
      <c r="AT85" s="1463"/>
      <c r="AU85" s="1463"/>
      <c r="AV85" s="1463"/>
      <c r="AW85" s="1463"/>
      <c r="AX85" s="1463"/>
      <c r="AY85" s="1463"/>
      <c r="AZ85" s="1463"/>
      <c r="BA85" s="289"/>
      <c r="BB85" s="289"/>
    </row>
    <row r="86" spans="3:54" ht="14.25">
      <c r="E86" s="290"/>
      <c r="F86" s="1460"/>
      <c r="G86" s="1461"/>
      <c r="H86" s="1461"/>
      <c r="I86" s="1461"/>
      <c r="J86" s="1461"/>
      <c r="K86" s="1461"/>
      <c r="L86" s="1461"/>
      <c r="M86" s="1461"/>
      <c r="N86" s="1461"/>
      <c r="O86" s="1461"/>
      <c r="P86" s="1461"/>
      <c r="Q86" s="1461"/>
      <c r="R86" s="1461"/>
      <c r="S86" s="1461"/>
      <c r="T86" s="1461"/>
      <c r="U86" s="1461"/>
      <c r="V86" s="1461"/>
      <c r="W86" s="1461"/>
      <c r="X86" s="1461"/>
      <c r="Y86" s="1461"/>
      <c r="Z86" s="1462"/>
      <c r="AB86" s="1463"/>
      <c r="AC86" s="1463"/>
      <c r="AD86" s="1463"/>
      <c r="AE86" s="1463"/>
      <c r="AF86" s="1463"/>
      <c r="AG86" s="1463"/>
      <c r="AH86" s="1463"/>
      <c r="AI86" s="1463"/>
      <c r="AJ86" s="1463"/>
      <c r="AK86" s="1463"/>
      <c r="AL86" s="1463"/>
      <c r="AM86" s="1463"/>
      <c r="AN86" s="1463"/>
      <c r="AO86" s="1463"/>
      <c r="AP86" s="1463"/>
      <c r="AQ86" s="1463"/>
      <c r="AR86" s="1463"/>
      <c r="AS86" s="1463"/>
      <c r="AT86" s="1463"/>
      <c r="AU86" s="1463"/>
      <c r="AV86" s="1463"/>
      <c r="AW86" s="1463"/>
      <c r="AX86" s="1463"/>
      <c r="AY86" s="1463"/>
      <c r="AZ86" s="1463"/>
      <c r="BA86" s="289"/>
      <c r="BB86" s="289"/>
    </row>
    <row r="87" spans="3:54" ht="14.25">
      <c r="E87" s="288"/>
    </row>
    <row r="88" spans="3:54" ht="14.25">
      <c r="E88" s="291"/>
      <c r="F88" s="1464" t="s">
        <v>2812</v>
      </c>
      <c r="G88" s="1465"/>
      <c r="H88" s="1465"/>
      <c r="I88" s="1465"/>
      <c r="J88" s="1465"/>
      <c r="K88" s="1465"/>
      <c r="L88" s="1465"/>
      <c r="M88" s="1465"/>
      <c r="N88" s="1465"/>
      <c r="O88" s="1465"/>
      <c r="P88" s="1465"/>
      <c r="Q88" s="1465"/>
      <c r="R88" s="1465"/>
      <c r="S88" s="1465"/>
      <c r="T88" s="1465"/>
      <c r="U88" s="1465"/>
      <c r="V88" s="1465"/>
      <c r="W88" s="1465"/>
      <c r="X88" s="1465"/>
      <c r="Y88" s="1465"/>
      <c r="Z88" s="1466"/>
      <c r="AB88" s="1463" t="s">
        <v>2813</v>
      </c>
      <c r="AC88" s="1463"/>
      <c r="AD88" s="1463"/>
      <c r="AE88" s="1463"/>
      <c r="AF88" s="1463"/>
      <c r="AG88" s="1463"/>
      <c r="AH88" s="1463"/>
      <c r="AI88" s="1463"/>
      <c r="AJ88" s="1463"/>
      <c r="AK88" s="1463"/>
      <c r="AL88" s="1463"/>
      <c r="AM88" s="1463"/>
      <c r="AN88" s="1463"/>
      <c r="AO88" s="1463"/>
      <c r="AP88" s="1463"/>
      <c r="AQ88" s="1463"/>
      <c r="AR88" s="1463"/>
      <c r="AS88" s="1463"/>
      <c r="AT88" s="1463"/>
      <c r="AU88" s="1463"/>
      <c r="AV88" s="1463"/>
      <c r="AW88" s="1463"/>
      <c r="AX88" s="1463"/>
      <c r="AY88" s="1463"/>
      <c r="AZ88" s="1463"/>
      <c r="BA88" s="289"/>
      <c r="BB88" s="289"/>
    </row>
    <row r="89" spans="3:54" ht="14.25">
      <c r="E89" s="288"/>
      <c r="F89" s="1467"/>
      <c r="G89" s="1468"/>
      <c r="H89" s="1468"/>
      <c r="I89" s="1468"/>
      <c r="J89" s="1468"/>
      <c r="K89" s="1468"/>
      <c r="L89" s="1468"/>
      <c r="M89" s="1468"/>
      <c r="N89" s="1468"/>
      <c r="O89" s="1468"/>
      <c r="P89" s="1468"/>
      <c r="Q89" s="1468"/>
      <c r="R89" s="1468"/>
      <c r="S89" s="1468"/>
      <c r="T89" s="1468"/>
      <c r="U89" s="1468"/>
      <c r="V89" s="1468"/>
      <c r="W89" s="1468"/>
      <c r="X89" s="1468"/>
      <c r="Y89" s="1468"/>
      <c r="Z89" s="1469"/>
      <c r="AB89" s="1463"/>
      <c r="AC89" s="1463"/>
      <c r="AD89" s="1463"/>
      <c r="AE89" s="1463"/>
      <c r="AF89" s="1463"/>
      <c r="AG89" s="1463"/>
      <c r="AH89" s="1463"/>
      <c r="AI89" s="1463"/>
      <c r="AJ89" s="1463"/>
      <c r="AK89" s="1463"/>
      <c r="AL89" s="1463"/>
      <c r="AM89" s="1463"/>
      <c r="AN89" s="1463"/>
      <c r="AO89" s="1463"/>
      <c r="AP89" s="1463"/>
      <c r="AQ89" s="1463"/>
      <c r="AR89" s="1463"/>
      <c r="AS89" s="1463"/>
      <c r="AT89" s="1463"/>
      <c r="AU89" s="1463"/>
      <c r="AV89" s="1463"/>
      <c r="AW89" s="1463"/>
      <c r="AX89" s="1463"/>
      <c r="AY89" s="1463"/>
      <c r="AZ89" s="1463"/>
      <c r="BA89" s="289"/>
      <c r="BB89" s="289"/>
    </row>
    <row r="90" spans="3:54" ht="14.25">
      <c r="E90" s="288"/>
    </row>
    <row r="91" spans="3:54" ht="14.25">
      <c r="E91" s="288"/>
      <c r="F91" s="1464" t="s">
        <v>2814</v>
      </c>
      <c r="G91" s="1465"/>
      <c r="H91" s="1465"/>
      <c r="I91" s="1465"/>
      <c r="J91" s="1465"/>
      <c r="K91" s="1465"/>
      <c r="L91" s="1465"/>
      <c r="M91" s="1465"/>
      <c r="N91" s="1465"/>
      <c r="O91" s="1465"/>
      <c r="P91" s="1465"/>
      <c r="Q91" s="1465"/>
      <c r="R91" s="1465"/>
      <c r="S91" s="1465"/>
      <c r="T91" s="1465"/>
      <c r="U91" s="1465"/>
      <c r="V91" s="1465"/>
      <c r="W91" s="1465"/>
      <c r="X91" s="1465"/>
      <c r="Y91" s="1465"/>
      <c r="Z91" s="1466"/>
      <c r="AB91" s="1463" t="s">
        <v>2815</v>
      </c>
      <c r="AC91" s="1463"/>
      <c r="AD91" s="1463"/>
      <c r="AE91" s="1463"/>
      <c r="AF91" s="1463"/>
      <c r="AG91" s="1463"/>
      <c r="AH91" s="1463"/>
      <c r="AI91" s="1463"/>
      <c r="AJ91" s="1463"/>
      <c r="AK91" s="1463"/>
      <c r="AL91" s="1463"/>
      <c r="AM91" s="1463"/>
      <c r="AN91" s="1463"/>
      <c r="AO91" s="1463"/>
      <c r="AP91" s="1463"/>
      <c r="AQ91" s="1463"/>
      <c r="AR91" s="1463"/>
      <c r="AS91" s="1463"/>
      <c r="AT91" s="1463"/>
      <c r="AU91" s="1463"/>
      <c r="AV91" s="1463"/>
      <c r="AW91" s="1463"/>
      <c r="AX91" s="1463"/>
      <c r="AY91" s="1463"/>
      <c r="AZ91" s="1463"/>
      <c r="BA91" s="289"/>
      <c r="BB91" s="289"/>
    </row>
    <row r="92" spans="3:54" ht="14.25">
      <c r="E92" s="290"/>
      <c r="F92" s="1467"/>
      <c r="G92" s="1468"/>
      <c r="H92" s="1468"/>
      <c r="I92" s="1468"/>
      <c r="J92" s="1468"/>
      <c r="K92" s="1468"/>
      <c r="L92" s="1468"/>
      <c r="M92" s="1468"/>
      <c r="N92" s="1468"/>
      <c r="O92" s="1468"/>
      <c r="P92" s="1468"/>
      <c r="Q92" s="1468"/>
      <c r="R92" s="1468"/>
      <c r="S92" s="1468"/>
      <c r="T92" s="1468"/>
      <c r="U92" s="1468"/>
      <c r="V92" s="1468"/>
      <c r="W92" s="1468"/>
      <c r="X92" s="1468"/>
      <c r="Y92" s="1468"/>
      <c r="Z92" s="1469"/>
      <c r="AB92" s="1463"/>
      <c r="AC92" s="1463"/>
      <c r="AD92" s="1463"/>
      <c r="AE92" s="1463"/>
      <c r="AF92" s="1463"/>
      <c r="AG92" s="1463"/>
      <c r="AH92" s="1463"/>
      <c r="AI92" s="1463"/>
      <c r="AJ92" s="1463"/>
      <c r="AK92" s="1463"/>
      <c r="AL92" s="1463"/>
      <c r="AM92" s="1463"/>
      <c r="AN92" s="1463"/>
      <c r="AO92" s="1463"/>
      <c r="AP92" s="1463"/>
      <c r="AQ92" s="1463"/>
      <c r="AR92" s="1463"/>
      <c r="AS92" s="1463"/>
      <c r="AT92" s="1463"/>
      <c r="AU92" s="1463"/>
      <c r="AV92" s="1463"/>
      <c r="AW92" s="1463"/>
      <c r="AX92" s="1463"/>
      <c r="AY92" s="1463"/>
      <c r="AZ92" s="1463"/>
      <c r="BA92" s="289"/>
      <c r="BB92" s="289"/>
    </row>
    <row r="93" spans="3:54" ht="14.25">
      <c r="E93" s="288"/>
    </row>
    <row r="94" spans="3:54" ht="14.25">
      <c r="E94" s="291"/>
      <c r="F94" s="1362" t="s">
        <v>2769</v>
      </c>
      <c r="G94" s="1363"/>
      <c r="H94" s="1363"/>
      <c r="I94" s="1363"/>
      <c r="J94" s="1363"/>
      <c r="K94" s="1363"/>
      <c r="L94" s="1363"/>
      <c r="M94" s="1363"/>
      <c r="N94" s="1363"/>
      <c r="O94" s="1363"/>
      <c r="P94" s="1363"/>
      <c r="Q94" s="1363"/>
      <c r="R94" s="1363"/>
      <c r="S94" s="1363"/>
      <c r="T94" s="1363"/>
      <c r="U94" s="1363"/>
      <c r="V94" s="1363"/>
      <c r="W94" s="1363"/>
      <c r="X94" s="1363"/>
      <c r="Y94" s="1363"/>
      <c r="Z94" s="1364"/>
      <c r="AB94" s="1368"/>
      <c r="AC94" s="1368"/>
      <c r="AD94" s="1368"/>
      <c r="AE94" s="1368"/>
      <c r="AF94" s="1368"/>
      <c r="AG94" s="1368"/>
      <c r="AH94" s="1368"/>
      <c r="AI94" s="1368"/>
      <c r="AJ94" s="1368"/>
      <c r="AK94" s="1368"/>
      <c r="AL94" s="1368"/>
      <c r="AM94" s="1368"/>
      <c r="AN94" s="1368"/>
      <c r="AO94" s="1368"/>
      <c r="AP94" s="1368"/>
      <c r="AQ94" s="1368"/>
      <c r="AR94" s="1368"/>
      <c r="AS94" s="1368"/>
      <c r="AT94" s="1368"/>
      <c r="AU94" s="1368"/>
      <c r="AV94" s="1368"/>
      <c r="AW94" s="1368"/>
      <c r="AX94" s="1368"/>
      <c r="AY94" s="1368"/>
      <c r="AZ94" s="1368"/>
      <c r="BA94" s="275"/>
      <c r="BB94" s="275"/>
    </row>
    <row r="95" spans="3:54" ht="14.25">
      <c r="E95" s="288"/>
      <c r="F95" s="1365"/>
      <c r="G95" s="1366"/>
      <c r="H95" s="1366"/>
      <c r="I95" s="1366"/>
      <c r="J95" s="1366"/>
      <c r="K95" s="1366"/>
      <c r="L95" s="1366"/>
      <c r="M95" s="1366"/>
      <c r="N95" s="1366"/>
      <c r="O95" s="1366"/>
      <c r="P95" s="1366"/>
      <c r="Q95" s="1366"/>
      <c r="R95" s="1366"/>
      <c r="S95" s="1366"/>
      <c r="T95" s="1366"/>
      <c r="U95" s="1366"/>
      <c r="V95" s="1366"/>
      <c r="W95" s="1366"/>
      <c r="X95" s="1366"/>
      <c r="Y95" s="1366"/>
      <c r="Z95" s="1367"/>
      <c r="AB95" s="1368"/>
      <c r="AC95" s="1368"/>
      <c r="AD95" s="1368"/>
      <c r="AE95" s="1368"/>
      <c r="AF95" s="1368"/>
      <c r="AG95" s="1368"/>
      <c r="AH95" s="1368"/>
      <c r="AI95" s="1368"/>
      <c r="AJ95" s="1368"/>
      <c r="AK95" s="1368"/>
      <c r="AL95" s="1368"/>
      <c r="AM95" s="1368"/>
      <c r="AN95" s="1368"/>
      <c r="AO95" s="1368"/>
      <c r="AP95" s="1368"/>
      <c r="AQ95" s="1368"/>
      <c r="AR95" s="1368"/>
      <c r="AS95" s="1368"/>
      <c r="AT95" s="1368"/>
      <c r="AU95" s="1368"/>
      <c r="AV95" s="1368"/>
      <c r="AW95" s="1368"/>
      <c r="AX95" s="1368"/>
      <c r="AY95" s="1368"/>
      <c r="AZ95" s="1368"/>
      <c r="BA95" s="275"/>
      <c r="BB95" s="275"/>
    </row>
    <row r="96" spans="3:54" ht="14.25">
      <c r="E96" s="288"/>
    </row>
    <row r="97" spans="3:54" ht="14.25">
      <c r="E97" s="288"/>
      <c r="F97" s="1457" t="s">
        <v>2816</v>
      </c>
      <c r="G97" s="1458"/>
      <c r="H97" s="1458"/>
      <c r="I97" s="1458"/>
      <c r="J97" s="1458"/>
      <c r="K97" s="1458"/>
      <c r="L97" s="1458"/>
      <c r="M97" s="1458"/>
      <c r="N97" s="1458"/>
      <c r="O97" s="1458"/>
      <c r="P97" s="1458"/>
      <c r="Q97" s="1458"/>
      <c r="R97" s="1458"/>
      <c r="S97" s="1458"/>
      <c r="T97" s="1458"/>
      <c r="U97" s="1458"/>
      <c r="V97" s="1458"/>
      <c r="W97" s="1458"/>
      <c r="X97" s="1458"/>
      <c r="Y97" s="1458"/>
      <c r="Z97" s="1459"/>
      <c r="AB97" s="1485" t="s">
        <v>2776</v>
      </c>
      <c r="AC97" s="1485"/>
      <c r="AD97" s="1485"/>
      <c r="AE97" s="1485"/>
      <c r="AF97" s="1485"/>
      <c r="AG97" s="1485"/>
      <c r="AH97" s="1485"/>
      <c r="AI97" s="1485"/>
      <c r="AJ97" s="1485"/>
      <c r="AK97" s="1485"/>
      <c r="AL97" s="1485"/>
      <c r="AM97" s="1485"/>
      <c r="AN97" s="1485"/>
      <c r="AO97" s="1485"/>
      <c r="AP97" s="1485"/>
      <c r="AQ97" s="1485"/>
      <c r="AR97" s="1485"/>
      <c r="AS97" s="1485"/>
      <c r="AT97" s="1485"/>
      <c r="AU97" s="1485"/>
      <c r="AV97" s="1485"/>
      <c r="AW97" s="1485"/>
      <c r="AX97" s="1485"/>
      <c r="AY97" s="1485"/>
      <c r="AZ97" s="1485"/>
      <c r="BA97" s="289"/>
      <c r="BB97" s="289"/>
    </row>
    <row r="98" spans="3:54" ht="14.25">
      <c r="E98" s="292"/>
      <c r="F98" s="1460"/>
      <c r="G98" s="1461"/>
      <c r="H98" s="1461"/>
      <c r="I98" s="1461"/>
      <c r="J98" s="1461"/>
      <c r="K98" s="1461"/>
      <c r="L98" s="1461"/>
      <c r="M98" s="1461"/>
      <c r="N98" s="1461"/>
      <c r="O98" s="1461"/>
      <c r="P98" s="1461"/>
      <c r="Q98" s="1461"/>
      <c r="R98" s="1461"/>
      <c r="S98" s="1461"/>
      <c r="T98" s="1461"/>
      <c r="U98" s="1461"/>
      <c r="V98" s="1461"/>
      <c r="W98" s="1461"/>
      <c r="X98" s="1461"/>
      <c r="Y98" s="1461"/>
      <c r="Z98" s="1462"/>
      <c r="AB98" s="1485"/>
      <c r="AC98" s="1485"/>
      <c r="AD98" s="1485"/>
      <c r="AE98" s="1485"/>
      <c r="AF98" s="1485"/>
      <c r="AG98" s="1485"/>
      <c r="AH98" s="1485"/>
      <c r="AI98" s="1485"/>
      <c r="AJ98" s="1485"/>
      <c r="AK98" s="1485"/>
      <c r="AL98" s="1485"/>
      <c r="AM98" s="1485"/>
      <c r="AN98" s="1485"/>
      <c r="AO98" s="1485"/>
      <c r="AP98" s="1485"/>
      <c r="AQ98" s="1485"/>
      <c r="AR98" s="1485"/>
      <c r="AS98" s="1485"/>
      <c r="AT98" s="1485"/>
      <c r="AU98" s="1485"/>
      <c r="AV98" s="1485"/>
      <c r="AW98" s="1485"/>
      <c r="AX98" s="1485"/>
      <c r="AY98" s="1485"/>
      <c r="AZ98" s="1485"/>
      <c r="BA98" s="289"/>
      <c r="BB98" s="289"/>
    </row>
    <row r="99" spans="3:54" ht="14.25"/>
    <row r="100" spans="3:54" ht="14.25"/>
    <row r="101" spans="3:54" ht="14.25"/>
    <row r="102" spans="3:54" ht="15" thickBot="1"/>
    <row r="103" spans="3:54" ht="15" thickTop="1">
      <c r="C103" s="1470" t="s">
        <v>2817</v>
      </c>
      <c r="D103" s="1471"/>
      <c r="E103" s="1471"/>
      <c r="F103" s="1471"/>
      <c r="G103" s="1471"/>
      <c r="H103" s="1471"/>
      <c r="I103" s="1471"/>
      <c r="J103" s="1471"/>
      <c r="K103" s="1472"/>
    </row>
    <row r="104" spans="3:54" ht="14.25">
      <c r="C104" s="1473"/>
      <c r="D104" s="1312"/>
      <c r="E104" s="1312"/>
      <c r="F104" s="1312"/>
      <c r="G104" s="1312"/>
      <c r="H104" s="1312"/>
      <c r="I104" s="1312"/>
      <c r="J104" s="1312"/>
      <c r="K104" s="1474"/>
    </row>
    <row r="105" spans="3:54" ht="15" thickBot="1">
      <c r="C105" s="1475"/>
      <c r="D105" s="1476"/>
      <c r="E105" s="1476"/>
      <c r="F105" s="1476"/>
      <c r="G105" s="1476"/>
      <c r="H105" s="1476"/>
      <c r="I105" s="1476"/>
      <c r="J105" s="1476"/>
      <c r="K105" s="1477"/>
    </row>
    <row r="106" spans="3:54" ht="15" thickTop="1">
      <c r="E106" s="293"/>
    </row>
    <row r="107" spans="3:54" ht="14.25">
      <c r="E107" s="294"/>
      <c r="F107" s="267"/>
    </row>
    <row r="108" spans="3:54" ht="14.25">
      <c r="E108" s="294"/>
      <c r="F108" s="1478" t="s">
        <v>2818</v>
      </c>
      <c r="G108" s="1479"/>
      <c r="H108" s="1479"/>
      <c r="I108" s="1479"/>
      <c r="J108" s="1479"/>
      <c r="K108" s="1479"/>
      <c r="L108" s="1479"/>
      <c r="M108" s="1479"/>
      <c r="N108" s="1479"/>
      <c r="O108" s="1479"/>
      <c r="P108" s="1479"/>
      <c r="Q108" s="1479"/>
      <c r="R108" s="1479"/>
      <c r="S108" s="1479"/>
      <c r="T108" s="1480"/>
      <c r="V108" s="1484" t="s">
        <v>2819</v>
      </c>
      <c r="W108" s="1484"/>
      <c r="X108" s="1484"/>
      <c r="Y108" s="1484"/>
      <c r="Z108" s="1484"/>
      <c r="AA108" s="1484"/>
      <c r="AB108" s="1484"/>
      <c r="AC108" s="1484"/>
      <c r="AD108" s="1484"/>
      <c r="AE108" s="1484"/>
      <c r="AF108" s="1484"/>
      <c r="AG108" s="1484"/>
      <c r="AH108" s="1484"/>
      <c r="AI108" s="1484"/>
      <c r="AJ108" s="1484"/>
      <c r="AK108" s="1484"/>
      <c r="AL108" s="1484"/>
      <c r="AM108" s="1484"/>
      <c r="AN108" s="1484"/>
      <c r="AO108" s="1484"/>
      <c r="AP108" s="1484"/>
      <c r="AQ108" s="1484"/>
      <c r="AR108" s="1484"/>
      <c r="AS108" s="1484"/>
      <c r="AT108" s="1484"/>
      <c r="AU108" s="1484"/>
      <c r="AV108" s="1484"/>
      <c r="AW108" s="1484"/>
      <c r="AX108" s="1484"/>
      <c r="AY108" s="1484"/>
      <c r="AZ108" s="1484"/>
      <c r="BA108" s="295"/>
      <c r="BB108" s="295"/>
    </row>
    <row r="109" spans="3:54" ht="14.25">
      <c r="E109" s="296"/>
      <c r="F109" s="1481"/>
      <c r="G109" s="1482"/>
      <c r="H109" s="1482"/>
      <c r="I109" s="1482"/>
      <c r="J109" s="1482"/>
      <c r="K109" s="1482"/>
      <c r="L109" s="1482"/>
      <c r="M109" s="1482"/>
      <c r="N109" s="1482"/>
      <c r="O109" s="1482"/>
      <c r="P109" s="1482"/>
      <c r="Q109" s="1482"/>
      <c r="R109" s="1482"/>
      <c r="S109" s="1482"/>
      <c r="T109" s="1483"/>
      <c r="V109" s="1484"/>
      <c r="W109" s="1484"/>
      <c r="X109" s="1484"/>
      <c r="Y109" s="1484"/>
      <c r="Z109" s="1484"/>
      <c r="AA109" s="1484"/>
      <c r="AB109" s="1484"/>
      <c r="AC109" s="1484"/>
      <c r="AD109" s="1484"/>
      <c r="AE109" s="1484"/>
      <c r="AF109" s="1484"/>
      <c r="AG109" s="1484"/>
      <c r="AH109" s="1484"/>
      <c r="AI109" s="1484"/>
      <c r="AJ109" s="1484"/>
      <c r="AK109" s="1484"/>
      <c r="AL109" s="1484"/>
      <c r="AM109" s="1484"/>
      <c r="AN109" s="1484"/>
      <c r="AO109" s="1484"/>
      <c r="AP109" s="1484"/>
      <c r="AQ109" s="1484"/>
      <c r="AR109" s="1484"/>
      <c r="AS109" s="1484"/>
      <c r="AT109" s="1484"/>
      <c r="AU109" s="1484"/>
      <c r="AV109" s="1484"/>
      <c r="AW109" s="1484"/>
      <c r="AX109" s="1484"/>
      <c r="AY109" s="1484"/>
      <c r="AZ109" s="1484"/>
      <c r="BA109" s="295"/>
      <c r="BB109" s="295"/>
    </row>
    <row r="110" spans="3:54" ht="14.25">
      <c r="E110" s="294"/>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row>
    <row r="111" spans="3:54" ht="14.25">
      <c r="E111" s="297"/>
      <c r="F111" s="1478" t="s">
        <v>2820</v>
      </c>
      <c r="G111" s="1479"/>
      <c r="H111" s="1479"/>
      <c r="I111" s="1479"/>
      <c r="J111" s="1479"/>
      <c r="K111" s="1479"/>
      <c r="L111" s="1479"/>
      <c r="M111" s="1479"/>
      <c r="N111" s="1479"/>
      <c r="O111" s="1479"/>
      <c r="P111" s="1479"/>
      <c r="Q111" s="1479"/>
      <c r="R111" s="1479"/>
      <c r="S111" s="1479"/>
      <c r="T111" s="1480"/>
      <c r="V111" s="1484" t="s">
        <v>2821</v>
      </c>
      <c r="W111" s="1484"/>
      <c r="X111" s="1484"/>
      <c r="Y111" s="1484"/>
      <c r="Z111" s="1484"/>
      <c r="AA111" s="1484"/>
      <c r="AB111" s="1484"/>
      <c r="AC111" s="1484"/>
      <c r="AD111" s="1484"/>
      <c r="AE111" s="1484"/>
      <c r="AF111" s="1484"/>
      <c r="AG111" s="1484"/>
      <c r="AH111" s="1484"/>
      <c r="AI111" s="1484"/>
      <c r="AJ111" s="1484"/>
      <c r="AK111" s="1484"/>
      <c r="AL111" s="1484"/>
      <c r="AM111" s="1484"/>
      <c r="AN111" s="1484"/>
      <c r="AO111" s="1484"/>
      <c r="AP111" s="1484"/>
      <c r="AQ111" s="1484"/>
      <c r="AR111" s="1484"/>
      <c r="AS111" s="1484"/>
      <c r="AT111" s="1484"/>
      <c r="AU111" s="1484"/>
      <c r="AV111" s="1484"/>
      <c r="AW111" s="1484"/>
      <c r="AX111" s="1484"/>
      <c r="AY111" s="1484"/>
      <c r="AZ111" s="1484"/>
      <c r="BA111" s="295"/>
      <c r="BB111" s="295"/>
    </row>
    <row r="112" spans="3:54" ht="14.25">
      <c r="E112" s="294"/>
      <c r="F112" s="1481"/>
      <c r="G112" s="1482"/>
      <c r="H112" s="1482"/>
      <c r="I112" s="1482"/>
      <c r="J112" s="1482"/>
      <c r="K112" s="1482"/>
      <c r="L112" s="1482"/>
      <c r="M112" s="1482"/>
      <c r="N112" s="1482"/>
      <c r="O112" s="1482"/>
      <c r="P112" s="1482"/>
      <c r="Q112" s="1482"/>
      <c r="R112" s="1482"/>
      <c r="S112" s="1482"/>
      <c r="T112" s="1483"/>
      <c r="V112" s="1484"/>
      <c r="W112" s="1484"/>
      <c r="X112" s="1484"/>
      <c r="Y112" s="1484"/>
      <c r="Z112" s="1484"/>
      <c r="AA112" s="1484"/>
      <c r="AB112" s="1484"/>
      <c r="AC112" s="1484"/>
      <c r="AD112" s="1484"/>
      <c r="AE112" s="1484"/>
      <c r="AF112" s="1484"/>
      <c r="AG112" s="1484"/>
      <c r="AH112" s="1484"/>
      <c r="AI112" s="1484"/>
      <c r="AJ112" s="1484"/>
      <c r="AK112" s="1484"/>
      <c r="AL112" s="1484"/>
      <c r="AM112" s="1484"/>
      <c r="AN112" s="1484"/>
      <c r="AO112" s="1484"/>
      <c r="AP112" s="1484"/>
      <c r="AQ112" s="1484"/>
      <c r="AR112" s="1484"/>
      <c r="AS112" s="1484"/>
      <c r="AT112" s="1484"/>
      <c r="AU112" s="1484"/>
      <c r="AV112" s="1484"/>
      <c r="AW112" s="1484"/>
      <c r="AX112" s="1484"/>
      <c r="AY112" s="1484"/>
      <c r="AZ112" s="1484"/>
      <c r="BA112" s="295"/>
      <c r="BB112" s="295"/>
    </row>
    <row r="113" spans="5:54" ht="14.25">
      <c r="E113" s="294"/>
      <c r="V113" s="1484" t="s">
        <v>2822</v>
      </c>
      <c r="W113" s="1484"/>
      <c r="X113" s="1484"/>
      <c r="Y113" s="1484"/>
      <c r="Z113" s="1484"/>
      <c r="AA113" s="1484"/>
      <c r="AB113" s="1484"/>
      <c r="AC113" s="1484"/>
      <c r="AD113" s="1484"/>
      <c r="AE113" s="1484"/>
      <c r="AF113" s="1484"/>
      <c r="AG113" s="1484"/>
      <c r="AH113" s="1484"/>
      <c r="AI113" s="1484"/>
      <c r="AJ113" s="1484"/>
      <c r="AK113" s="1484"/>
      <c r="AL113" s="1484"/>
      <c r="AM113" s="1484"/>
      <c r="AN113" s="1484"/>
      <c r="AO113" s="1484"/>
      <c r="AP113" s="1484"/>
      <c r="AQ113" s="1484"/>
      <c r="AR113" s="1484"/>
      <c r="AS113" s="1484"/>
      <c r="AT113" s="1484"/>
      <c r="AU113" s="1484"/>
      <c r="AV113" s="1484"/>
      <c r="AW113" s="1484"/>
      <c r="AX113" s="1484"/>
      <c r="AY113" s="1484"/>
      <c r="AZ113" s="1484"/>
      <c r="BA113" s="295"/>
      <c r="BB113" s="295"/>
    </row>
    <row r="114" spans="5:54" ht="14.25">
      <c r="E114" s="294"/>
      <c r="V114" s="1484"/>
      <c r="W114" s="1484"/>
      <c r="X114" s="1484"/>
      <c r="Y114" s="1484"/>
      <c r="Z114" s="1484"/>
      <c r="AA114" s="1484"/>
      <c r="AB114" s="1484"/>
      <c r="AC114" s="1484"/>
      <c r="AD114" s="1484"/>
      <c r="AE114" s="1484"/>
      <c r="AF114" s="1484"/>
      <c r="AG114" s="1484"/>
      <c r="AH114" s="1484"/>
      <c r="AI114" s="1484"/>
      <c r="AJ114" s="1484"/>
      <c r="AK114" s="1484"/>
      <c r="AL114" s="1484"/>
      <c r="AM114" s="1484"/>
      <c r="AN114" s="1484"/>
      <c r="AO114" s="1484"/>
      <c r="AP114" s="1484"/>
      <c r="AQ114" s="1484"/>
      <c r="AR114" s="1484"/>
      <c r="AS114" s="1484"/>
      <c r="AT114" s="1484"/>
      <c r="AU114" s="1484"/>
      <c r="AV114" s="1484"/>
      <c r="AW114" s="1484"/>
      <c r="AX114" s="1484"/>
      <c r="AY114" s="1484"/>
      <c r="AZ114" s="1484"/>
      <c r="BA114" s="295"/>
      <c r="BB114" s="295"/>
    </row>
    <row r="115" spans="5:54" ht="14.25">
      <c r="E115" s="294"/>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row>
    <row r="116" spans="5:54" ht="14.25">
      <c r="E116" s="294"/>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row>
    <row r="117" spans="5:54" ht="14.25">
      <c r="E117" s="294"/>
      <c r="F117" s="1478" t="s">
        <v>2823</v>
      </c>
      <c r="G117" s="1479"/>
      <c r="H117" s="1479"/>
      <c r="I117" s="1479"/>
      <c r="J117" s="1479"/>
      <c r="K117" s="1479"/>
      <c r="L117" s="1479"/>
      <c r="M117" s="1479"/>
      <c r="N117" s="1479"/>
      <c r="O117" s="1479"/>
      <c r="P117" s="1479"/>
      <c r="Q117" s="1479"/>
      <c r="R117" s="1479"/>
      <c r="S117" s="1479"/>
      <c r="T117" s="1480"/>
      <c r="V117" s="1484" t="s">
        <v>2824</v>
      </c>
      <c r="W117" s="1484"/>
      <c r="X117" s="1484"/>
      <c r="Y117" s="1484"/>
      <c r="Z117" s="1484"/>
      <c r="AA117" s="1484"/>
      <c r="AB117" s="1484"/>
      <c r="AC117" s="1484"/>
      <c r="AD117" s="1484"/>
      <c r="AE117" s="1484"/>
      <c r="AF117" s="1484"/>
      <c r="AG117" s="1484"/>
      <c r="AH117" s="1484"/>
      <c r="AI117" s="1484"/>
      <c r="AJ117" s="1484"/>
      <c r="AK117" s="1484"/>
      <c r="AL117" s="1484"/>
      <c r="AM117" s="1484"/>
      <c r="AN117" s="1484"/>
      <c r="AO117" s="1484"/>
      <c r="AP117" s="1484"/>
      <c r="AQ117" s="1484"/>
      <c r="AR117" s="1484"/>
      <c r="AS117" s="1484"/>
      <c r="AT117" s="1484"/>
      <c r="AU117" s="1484"/>
      <c r="AV117" s="1484"/>
      <c r="AW117" s="1484"/>
      <c r="AX117" s="1484"/>
      <c r="AY117" s="1484"/>
      <c r="AZ117" s="1484"/>
      <c r="BA117" s="295"/>
      <c r="BB117" s="295"/>
    </row>
    <row r="118" spans="5:54" ht="14.25">
      <c r="E118" s="296"/>
      <c r="F118" s="1481"/>
      <c r="G118" s="1482"/>
      <c r="H118" s="1482"/>
      <c r="I118" s="1482"/>
      <c r="J118" s="1482"/>
      <c r="K118" s="1482"/>
      <c r="L118" s="1482"/>
      <c r="M118" s="1482"/>
      <c r="N118" s="1482"/>
      <c r="O118" s="1482"/>
      <c r="P118" s="1482"/>
      <c r="Q118" s="1482"/>
      <c r="R118" s="1482"/>
      <c r="S118" s="1482"/>
      <c r="T118" s="1483"/>
      <c r="V118" s="1484"/>
      <c r="W118" s="1484"/>
      <c r="X118" s="1484"/>
      <c r="Y118" s="1484"/>
      <c r="Z118" s="1484"/>
      <c r="AA118" s="1484"/>
      <c r="AB118" s="1484"/>
      <c r="AC118" s="1484"/>
      <c r="AD118" s="1484"/>
      <c r="AE118" s="1484"/>
      <c r="AF118" s="1484"/>
      <c r="AG118" s="1484"/>
      <c r="AH118" s="1484"/>
      <c r="AI118" s="1484"/>
      <c r="AJ118" s="1484"/>
      <c r="AK118" s="1484"/>
      <c r="AL118" s="1484"/>
      <c r="AM118" s="1484"/>
      <c r="AN118" s="1484"/>
      <c r="AO118" s="1484"/>
      <c r="AP118" s="1484"/>
      <c r="AQ118" s="1484"/>
      <c r="AR118" s="1484"/>
      <c r="AS118" s="1484"/>
      <c r="AT118" s="1484"/>
      <c r="AU118" s="1484"/>
      <c r="AV118" s="1484"/>
      <c r="AW118" s="1484"/>
      <c r="AX118" s="1484"/>
      <c r="AY118" s="1484"/>
      <c r="AZ118" s="1484"/>
      <c r="BA118" s="295"/>
      <c r="BB118" s="295"/>
    </row>
    <row r="119" spans="5:54" ht="14.25">
      <c r="E119" s="294"/>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row>
    <row r="120" spans="5:54" ht="14.25">
      <c r="E120" s="297"/>
      <c r="F120" s="1478" t="s">
        <v>2825</v>
      </c>
      <c r="G120" s="1479"/>
      <c r="H120" s="1479"/>
      <c r="I120" s="1479"/>
      <c r="J120" s="1479"/>
      <c r="K120" s="1479"/>
      <c r="L120" s="1479"/>
      <c r="M120" s="1479"/>
      <c r="N120" s="1479"/>
      <c r="O120" s="1479"/>
      <c r="P120" s="1479"/>
      <c r="Q120" s="1479"/>
      <c r="R120" s="1479"/>
      <c r="S120" s="1479"/>
      <c r="T120" s="1480"/>
      <c r="V120" s="1484" t="s">
        <v>2826</v>
      </c>
      <c r="W120" s="1484"/>
      <c r="X120" s="1484"/>
      <c r="Y120" s="1484"/>
      <c r="Z120" s="1484"/>
      <c r="AA120" s="1484"/>
      <c r="AB120" s="1484"/>
      <c r="AC120" s="1484"/>
      <c r="AD120" s="1484"/>
      <c r="AE120" s="1484"/>
      <c r="AF120" s="1484"/>
      <c r="AG120" s="1484"/>
      <c r="AH120" s="1484"/>
      <c r="AI120" s="1484"/>
      <c r="AJ120" s="1484"/>
      <c r="AK120" s="1484"/>
      <c r="AL120" s="1484"/>
      <c r="AM120" s="1484"/>
      <c r="AN120" s="1484"/>
      <c r="AO120" s="1484"/>
      <c r="AP120" s="1484"/>
      <c r="AQ120" s="1484"/>
      <c r="AR120" s="1484"/>
      <c r="AS120" s="1484"/>
      <c r="AT120" s="1484"/>
      <c r="AU120" s="1484"/>
      <c r="AV120" s="1484"/>
      <c r="AW120" s="1484"/>
      <c r="AX120" s="1484"/>
      <c r="AY120" s="1484"/>
      <c r="AZ120" s="1484"/>
      <c r="BA120" s="295"/>
      <c r="BB120" s="295"/>
    </row>
    <row r="121" spans="5:54" ht="14.25">
      <c r="E121" s="294"/>
      <c r="F121" s="1481"/>
      <c r="G121" s="1482"/>
      <c r="H121" s="1482"/>
      <c r="I121" s="1482"/>
      <c r="J121" s="1482"/>
      <c r="K121" s="1482"/>
      <c r="L121" s="1482"/>
      <c r="M121" s="1482"/>
      <c r="N121" s="1482"/>
      <c r="O121" s="1482"/>
      <c r="P121" s="1482"/>
      <c r="Q121" s="1482"/>
      <c r="R121" s="1482"/>
      <c r="S121" s="1482"/>
      <c r="T121" s="1483"/>
      <c r="V121" s="1484"/>
      <c r="W121" s="1484"/>
      <c r="X121" s="1484"/>
      <c r="Y121" s="1484"/>
      <c r="Z121" s="1484"/>
      <c r="AA121" s="1484"/>
      <c r="AB121" s="1484"/>
      <c r="AC121" s="1484"/>
      <c r="AD121" s="1484"/>
      <c r="AE121" s="1484"/>
      <c r="AF121" s="1484"/>
      <c r="AG121" s="1484"/>
      <c r="AH121" s="1484"/>
      <c r="AI121" s="1484"/>
      <c r="AJ121" s="1484"/>
      <c r="AK121" s="1484"/>
      <c r="AL121" s="1484"/>
      <c r="AM121" s="1484"/>
      <c r="AN121" s="1484"/>
      <c r="AO121" s="1484"/>
      <c r="AP121" s="1484"/>
      <c r="AQ121" s="1484"/>
      <c r="AR121" s="1484"/>
      <c r="AS121" s="1484"/>
      <c r="AT121" s="1484"/>
      <c r="AU121" s="1484"/>
      <c r="AV121" s="1484"/>
      <c r="AW121" s="1484"/>
      <c r="AX121" s="1484"/>
      <c r="AY121" s="1484"/>
      <c r="AZ121" s="1484"/>
      <c r="BA121" s="295"/>
      <c r="BB121" s="295"/>
    </row>
    <row r="122" spans="5:54" ht="14.25">
      <c r="E122" s="294"/>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row>
    <row r="123" spans="5:54" ht="14.25">
      <c r="E123" s="294"/>
      <c r="F123" s="1478" t="s">
        <v>2827</v>
      </c>
      <c r="G123" s="1479"/>
      <c r="H123" s="1479"/>
      <c r="I123" s="1479"/>
      <c r="J123" s="1479"/>
      <c r="K123" s="1479"/>
      <c r="L123" s="1479"/>
      <c r="M123" s="1479"/>
      <c r="N123" s="1479"/>
      <c r="O123" s="1479"/>
      <c r="P123" s="1479"/>
      <c r="Q123" s="1479"/>
      <c r="R123" s="1479"/>
      <c r="S123" s="1479"/>
      <c r="T123" s="1480"/>
      <c r="V123" s="1484" t="s">
        <v>2828</v>
      </c>
      <c r="W123" s="1484"/>
      <c r="X123" s="1484"/>
      <c r="Y123" s="1484"/>
      <c r="Z123" s="1484"/>
      <c r="AA123" s="1484"/>
      <c r="AB123" s="1484"/>
      <c r="AC123" s="1484"/>
      <c r="AD123" s="1484"/>
      <c r="AE123" s="1484"/>
      <c r="AF123" s="1484"/>
      <c r="AG123" s="1484"/>
      <c r="AH123" s="1484"/>
      <c r="AI123" s="1484"/>
      <c r="AJ123" s="1484"/>
      <c r="AK123" s="1484"/>
      <c r="AL123" s="1484"/>
      <c r="AM123" s="1484"/>
      <c r="AN123" s="1484"/>
      <c r="AO123" s="1484"/>
      <c r="AP123" s="1484"/>
      <c r="AQ123" s="1484"/>
      <c r="AR123" s="1484"/>
      <c r="AS123" s="1484"/>
      <c r="AT123" s="1484"/>
      <c r="AU123" s="1484"/>
      <c r="AV123" s="1484"/>
      <c r="AW123" s="1484"/>
      <c r="AX123" s="1484"/>
      <c r="AY123" s="1484"/>
      <c r="AZ123" s="1484"/>
      <c r="BA123" s="295"/>
      <c r="BB123" s="295"/>
    </row>
    <row r="124" spans="5:54" ht="14.25">
      <c r="E124" s="296"/>
      <c r="F124" s="1481"/>
      <c r="G124" s="1482"/>
      <c r="H124" s="1482"/>
      <c r="I124" s="1482"/>
      <c r="J124" s="1482"/>
      <c r="K124" s="1482"/>
      <c r="L124" s="1482"/>
      <c r="M124" s="1482"/>
      <c r="N124" s="1482"/>
      <c r="O124" s="1482"/>
      <c r="P124" s="1482"/>
      <c r="Q124" s="1482"/>
      <c r="R124" s="1482"/>
      <c r="S124" s="1482"/>
      <c r="T124" s="1483"/>
      <c r="V124" s="1484"/>
      <c r="W124" s="1484"/>
      <c r="X124" s="1484"/>
      <c r="Y124" s="1484"/>
      <c r="Z124" s="1484"/>
      <c r="AA124" s="1484"/>
      <c r="AB124" s="1484"/>
      <c r="AC124" s="1484"/>
      <c r="AD124" s="1484"/>
      <c r="AE124" s="1484"/>
      <c r="AF124" s="1484"/>
      <c r="AG124" s="1484"/>
      <c r="AH124" s="1484"/>
      <c r="AI124" s="1484"/>
      <c r="AJ124" s="1484"/>
      <c r="AK124" s="1484"/>
      <c r="AL124" s="1484"/>
      <c r="AM124" s="1484"/>
      <c r="AN124" s="1484"/>
      <c r="AO124" s="1484"/>
      <c r="AP124" s="1484"/>
      <c r="AQ124" s="1484"/>
      <c r="AR124" s="1484"/>
      <c r="AS124" s="1484"/>
      <c r="AT124" s="1484"/>
      <c r="AU124" s="1484"/>
      <c r="AV124" s="1484"/>
      <c r="AW124" s="1484"/>
      <c r="AX124" s="1484"/>
      <c r="AY124" s="1484"/>
      <c r="AZ124" s="1484"/>
      <c r="BA124" s="295"/>
      <c r="BB124" s="295"/>
    </row>
    <row r="125" spans="5:54" ht="14.25">
      <c r="E125" s="294"/>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row>
    <row r="126" spans="5:54" ht="14.25">
      <c r="E126" s="297"/>
      <c r="F126" s="1478" t="s">
        <v>2829</v>
      </c>
      <c r="G126" s="1479"/>
      <c r="H126" s="1479"/>
      <c r="I126" s="1479"/>
      <c r="J126" s="1479"/>
      <c r="K126" s="1479"/>
      <c r="L126" s="1479"/>
      <c r="M126" s="1479"/>
      <c r="N126" s="1479"/>
      <c r="O126" s="1479"/>
      <c r="P126" s="1479"/>
      <c r="Q126" s="1479"/>
      <c r="R126" s="1479"/>
      <c r="S126" s="1479"/>
      <c r="T126" s="1480"/>
      <c r="V126" s="1484" t="s">
        <v>2828</v>
      </c>
      <c r="W126" s="1484"/>
      <c r="X126" s="1484"/>
      <c r="Y126" s="1484"/>
      <c r="Z126" s="1484"/>
      <c r="AA126" s="1484"/>
      <c r="AB126" s="1484"/>
      <c r="AC126" s="1484"/>
      <c r="AD126" s="1484"/>
      <c r="AE126" s="1484"/>
      <c r="AF126" s="1484"/>
      <c r="AG126" s="1484"/>
      <c r="AH126" s="1484"/>
      <c r="AI126" s="1484"/>
      <c r="AJ126" s="1484"/>
      <c r="AK126" s="1484"/>
      <c r="AL126" s="1484"/>
      <c r="AM126" s="1484"/>
      <c r="AN126" s="1484"/>
      <c r="AO126" s="1484"/>
      <c r="AP126" s="1484"/>
      <c r="AQ126" s="1484"/>
      <c r="AR126" s="1484"/>
      <c r="AS126" s="1484"/>
      <c r="AT126" s="1484"/>
      <c r="AU126" s="1484"/>
      <c r="AV126" s="1484"/>
      <c r="AW126" s="1484"/>
      <c r="AX126" s="1484"/>
      <c r="AY126" s="1484"/>
      <c r="AZ126" s="1484"/>
      <c r="BA126" s="295"/>
      <c r="BB126" s="295"/>
    </row>
    <row r="127" spans="5:54" ht="14.25">
      <c r="F127" s="1481"/>
      <c r="G127" s="1482"/>
      <c r="H127" s="1482"/>
      <c r="I127" s="1482"/>
      <c r="J127" s="1482"/>
      <c r="K127" s="1482"/>
      <c r="L127" s="1482"/>
      <c r="M127" s="1482"/>
      <c r="N127" s="1482"/>
      <c r="O127" s="1482"/>
      <c r="P127" s="1482"/>
      <c r="Q127" s="1482"/>
      <c r="R127" s="1482"/>
      <c r="S127" s="1482"/>
      <c r="T127" s="1483"/>
      <c r="V127" s="1484"/>
      <c r="W127" s="1484"/>
      <c r="X127" s="1484"/>
      <c r="Y127" s="1484"/>
      <c r="Z127" s="1484"/>
      <c r="AA127" s="1484"/>
      <c r="AB127" s="1484"/>
      <c r="AC127" s="1484"/>
      <c r="AD127" s="1484"/>
      <c r="AE127" s="1484"/>
      <c r="AF127" s="1484"/>
      <c r="AG127" s="1484"/>
      <c r="AH127" s="1484"/>
      <c r="AI127" s="1484"/>
      <c r="AJ127" s="1484"/>
      <c r="AK127" s="1484"/>
      <c r="AL127" s="1484"/>
      <c r="AM127" s="1484"/>
      <c r="AN127" s="1484"/>
      <c r="AO127" s="1484"/>
      <c r="AP127" s="1484"/>
      <c r="AQ127" s="1484"/>
      <c r="AR127" s="1484"/>
      <c r="AS127" s="1484"/>
      <c r="AT127" s="1484"/>
      <c r="AU127" s="1484"/>
      <c r="AV127" s="1484"/>
      <c r="AW127" s="1484"/>
      <c r="AX127" s="1484"/>
      <c r="AY127" s="1484"/>
      <c r="AZ127" s="1484"/>
      <c r="BA127" s="295"/>
      <c r="BB127" s="295"/>
    </row>
    <row r="128" spans="5:54" ht="14.25">
      <c r="V128" s="1484" t="s">
        <v>2830</v>
      </c>
      <c r="W128" s="1484"/>
      <c r="X128" s="1484"/>
      <c r="Y128" s="1484"/>
      <c r="Z128" s="1484"/>
      <c r="AA128" s="1484"/>
      <c r="AB128" s="1484"/>
      <c r="AC128" s="1484"/>
      <c r="AD128" s="1484"/>
      <c r="AE128" s="1484"/>
      <c r="AF128" s="1484"/>
      <c r="AG128" s="1484"/>
      <c r="AH128" s="1484"/>
      <c r="AI128" s="1484"/>
      <c r="AJ128" s="1484"/>
      <c r="AK128" s="1484"/>
      <c r="AL128" s="1484"/>
      <c r="AM128" s="1484"/>
      <c r="AN128" s="1484"/>
      <c r="AO128" s="1484"/>
      <c r="AP128" s="1484"/>
      <c r="AQ128" s="1484"/>
      <c r="AR128" s="1484"/>
      <c r="AS128" s="1484"/>
      <c r="AT128" s="1484"/>
      <c r="AU128" s="1484"/>
      <c r="AV128" s="1484"/>
      <c r="AW128" s="1484"/>
      <c r="AX128" s="1484"/>
      <c r="AY128" s="1484"/>
      <c r="AZ128" s="1484"/>
      <c r="BA128" s="295"/>
      <c r="BB128" s="295"/>
    </row>
    <row r="129" spans="22:54" ht="14.25">
      <c r="V129" s="1484"/>
      <c r="W129" s="1484"/>
      <c r="X129" s="1484"/>
      <c r="Y129" s="1484"/>
      <c r="Z129" s="1484"/>
      <c r="AA129" s="1484"/>
      <c r="AB129" s="1484"/>
      <c r="AC129" s="1484"/>
      <c r="AD129" s="1484"/>
      <c r="AE129" s="1484"/>
      <c r="AF129" s="1484"/>
      <c r="AG129" s="1484"/>
      <c r="AH129" s="1484"/>
      <c r="AI129" s="1484"/>
      <c r="AJ129" s="1484"/>
      <c r="AK129" s="1484"/>
      <c r="AL129" s="1484"/>
      <c r="AM129" s="1484"/>
      <c r="AN129" s="1484"/>
      <c r="AO129" s="1484"/>
      <c r="AP129" s="1484"/>
      <c r="AQ129" s="1484"/>
      <c r="AR129" s="1484"/>
      <c r="AS129" s="1484"/>
      <c r="AT129" s="1484"/>
      <c r="AU129" s="1484"/>
      <c r="AV129" s="1484"/>
      <c r="AW129" s="1484"/>
      <c r="AX129" s="1484"/>
      <c r="AY129" s="1484"/>
      <c r="AZ129" s="1484"/>
      <c r="BA129" s="295"/>
      <c r="BB129" s="295"/>
    </row>
    <row r="153" ht="14.25"/>
    <row r="154" ht="14.25"/>
    <row r="155" ht="14.25"/>
    <row r="156" ht="14.25"/>
    <row r="157" ht="14.25"/>
    <row r="158" ht="14.25"/>
    <row r="159" ht="14.25"/>
  </sheetData>
  <mergeCells count="164">
    <mergeCell ref="F126:T127"/>
    <mergeCell ref="V126:AZ127"/>
    <mergeCell ref="V128:AZ129"/>
    <mergeCell ref="F117:T118"/>
    <mergeCell ref="V117:AZ118"/>
    <mergeCell ref="F120:T121"/>
    <mergeCell ref="V120:AZ121"/>
    <mergeCell ref="F123:T124"/>
    <mergeCell ref="V123:AZ124"/>
    <mergeCell ref="C103:K105"/>
    <mergeCell ref="F108:T109"/>
    <mergeCell ref="V108:AZ109"/>
    <mergeCell ref="F111:T112"/>
    <mergeCell ref="V111:AZ112"/>
    <mergeCell ref="V113:AZ114"/>
    <mergeCell ref="F91:Z92"/>
    <mergeCell ref="AB91:AZ92"/>
    <mergeCell ref="F94:Z95"/>
    <mergeCell ref="AB94:AZ95"/>
    <mergeCell ref="F97:Z98"/>
    <mergeCell ref="AB97:AZ98"/>
    <mergeCell ref="F74:Q75"/>
    <mergeCell ref="U74:AS75"/>
    <mergeCell ref="C80:K82"/>
    <mergeCell ref="F85:Z86"/>
    <mergeCell ref="AB85:AZ86"/>
    <mergeCell ref="F88:Z89"/>
    <mergeCell ref="AB88:AZ89"/>
    <mergeCell ref="BJ69:BJ70"/>
    <mergeCell ref="BK69:BW70"/>
    <mergeCell ref="BX69:BX70"/>
    <mergeCell ref="BY69:CX70"/>
    <mergeCell ref="F71:Q72"/>
    <mergeCell ref="U71:AN72"/>
    <mergeCell ref="BC71:BI72"/>
    <mergeCell ref="BJ71:BX72"/>
    <mergeCell ref="BY71:CX72"/>
    <mergeCell ref="F65:Q66"/>
    <mergeCell ref="U65:AS66"/>
    <mergeCell ref="BC67:BI68"/>
    <mergeCell ref="F68:Q69"/>
    <mergeCell ref="U68:AN69"/>
    <mergeCell ref="BC69:BI70"/>
    <mergeCell ref="BC61:BI62"/>
    <mergeCell ref="BJ61:BX62"/>
    <mergeCell ref="BY61:CX62"/>
    <mergeCell ref="F62:S63"/>
    <mergeCell ref="U62:AN63"/>
    <mergeCell ref="BC63:BI64"/>
    <mergeCell ref="BJ63:BX64"/>
    <mergeCell ref="BY63:CX64"/>
    <mergeCell ref="BC55:BI56"/>
    <mergeCell ref="BJ55:BX56"/>
    <mergeCell ref="BY55:CX56"/>
    <mergeCell ref="C57:K59"/>
    <mergeCell ref="BC57:BI58"/>
    <mergeCell ref="BJ57:BX58"/>
    <mergeCell ref="BY57:CX58"/>
    <mergeCell ref="BC59:BI60"/>
    <mergeCell ref="BJ59:BX60"/>
    <mergeCell ref="BY59:CX60"/>
    <mergeCell ref="H51:S52"/>
    <mergeCell ref="U51:AN52"/>
    <mergeCell ref="BC51:BI52"/>
    <mergeCell ref="BJ51:BX52"/>
    <mergeCell ref="BY51:CX52"/>
    <mergeCell ref="BC53:BI54"/>
    <mergeCell ref="BJ53:BX54"/>
    <mergeCell ref="BY53:CX54"/>
    <mergeCell ref="BC47:BG48"/>
    <mergeCell ref="BH47:BI48"/>
    <mergeCell ref="BJ47:BX48"/>
    <mergeCell ref="BY47:CX48"/>
    <mergeCell ref="H48:S49"/>
    <mergeCell ref="U48:AN49"/>
    <mergeCell ref="BC49:BI50"/>
    <mergeCell ref="BJ49:BX50"/>
    <mergeCell ref="BY49:CX50"/>
    <mergeCell ref="H45:S46"/>
    <mergeCell ref="U45:AN46"/>
    <mergeCell ref="BC45:BG46"/>
    <mergeCell ref="BH45:BI46"/>
    <mergeCell ref="BJ45:BX46"/>
    <mergeCell ref="BY45:CX46"/>
    <mergeCell ref="E40:M42"/>
    <mergeCell ref="BC41:BI42"/>
    <mergeCell ref="BJ41:BX42"/>
    <mergeCell ref="BY41:CX42"/>
    <mergeCell ref="BC43:BI44"/>
    <mergeCell ref="BJ43:BX44"/>
    <mergeCell ref="BY43:CX44"/>
    <mergeCell ref="BC37:BI38"/>
    <mergeCell ref="BJ37:BX38"/>
    <mergeCell ref="BY37:CX38"/>
    <mergeCell ref="BC39:BI40"/>
    <mergeCell ref="BJ39:BJ40"/>
    <mergeCell ref="BK39:BW40"/>
    <mergeCell ref="BX39:BX40"/>
    <mergeCell ref="BY39:CX40"/>
    <mergeCell ref="F33:Q34"/>
    <mergeCell ref="S33:AL34"/>
    <mergeCell ref="BC33:BI34"/>
    <mergeCell ref="BJ33:BX34"/>
    <mergeCell ref="BY33:CX34"/>
    <mergeCell ref="BC35:BI36"/>
    <mergeCell ref="BJ35:BX36"/>
    <mergeCell ref="BY35:CX36"/>
    <mergeCell ref="F36:Q37"/>
    <mergeCell ref="S36:AQ37"/>
    <mergeCell ref="BC29:BI30"/>
    <mergeCell ref="BJ29:BX30"/>
    <mergeCell ref="BY29:CX30"/>
    <mergeCell ref="F30:Q31"/>
    <mergeCell ref="S30:AL31"/>
    <mergeCell ref="BC31:BI32"/>
    <mergeCell ref="BJ31:BJ32"/>
    <mergeCell ref="BK31:BW32"/>
    <mergeCell ref="BX31:BX32"/>
    <mergeCell ref="BY31:CX32"/>
    <mergeCell ref="F24:Q25"/>
    <mergeCell ref="S24:AQ25"/>
    <mergeCell ref="BC25:BI26"/>
    <mergeCell ref="BJ25:BX26"/>
    <mergeCell ref="BY25:CX26"/>
    <mergeCell ref="F27:Q28"/>
    <mergeCell ref="S27:AQ28"/>
    <mergeCell ref="BC27:BI28"/>
    <mergeCell ref="BJ27:BX28"/>
    <mergeCell ref="BY27:CX28"/>
    <mergeCell ref="BC19:BI20"/>
    <mergeCell ref="BJ19:BX20"/>
    <mergeCell ref="BY19:CX20"/>
    <mergeCell ref="F21:Q22"/>
    <mergeCell ref="S21:AL22"/>
    <mergeCell ref="BC21:BI22"/>
    <mergeCell ref="BJ21:BX22"/>
    <mergeCell ref="BY21:CX22"/>
    <mergeCell ref="F15:Z16"/>
    <mergeCell ref="AB15:AU16"/>
    <mergeCell ref="BC15:BI16"/>
    <mergeCell ref="BJ15:BX16"/>
    <mergeCell ref="BY15:CX16"/>
    <mergeCell ref="BC17:BI18"/>
    <mergeCell ref="BJ17:BX18"/>
    <mergeCell ref="BY17:CX18"/>
    <mergeCell ref="F18:Q19"/>
    <mergeCell ref="S18:AL19"/>
    <mergeCell ref="C10:K12"/>
    <mergeCell ref="BC11:BI12"/>
    <mergeCell ref="BJ11:BX12"/>
    <mergeCell ref="BY11:CX12"/>
    <mergeCell ref="BC13:BI14"/>
    <mergeCell ref="BJ13:BX14"/>
    <mergeCell ref="BY13:CX14"/>
    <mergeCell ref="A2:G3"/>
    <mergeCell ref="I2:AZ3"/>
    <mergeCell ref="BC2:BJ3"/>
    <mergeCell ref="BL2:CZ3"/>
    <mergeCell ref="C5:K7"/>
    <mergeCell ref="M5:U7"/>
    <mergeCell ref="W5:AE7"/>
    <mergeCell ref="AG5:AO7"/>
    <mergeCell ref="BC7:BI8"/>
    <mergeCell ref="BJ7:BX8"/>
  </mergeCells>
  <phoneticPr fontId="139"/>
  <dataValidations count="7">
    <dataValidation type="list" allowBlank="1" showInputMessage="1" showErrorMessage="1" sqref="BJ55:BX56 BJ65591:BX65592 BJ131127:BX131128 BJ196663:BX196664 BJ262199:BX262200 BJ327735:BX327736 BJ393271:BX393272 BJ458807:BX458808 BJ524343:BX524344 BJ589879:BX589880 BJ655415:BX655416 BJ720951:BX720952 BJ786487:BX786488 BJ852023:BX852024 BJ917559:BX917560 BJ983095:BX983096 LF55:LT56 LF65591:LT65592 LF131127:LT131128 LF196663:LT196664 LF262199:LT262200 LF327735:LT327736 LF393271:LT393272 LF458807:LT458808 LF524343:LT524344 LF589879:LT589880 LF655415:LT655416 LF720951:LT720952 LF786487:LT786488 LF852023:LT852024 LF917559:LT917560 LF983095:LT983096 VB55:VP56 VB65591:VP65592 VB131127:VP131128 VB196663:VP196664 VB262199:VP262200 VB327735:VP327736 VB393271:VP393272 VB458807:VP458808 VB524343:VP524344 VB589879:VP589880 VB655415:VP655416 VB720951:VP720952 VB786487:VP786488 VB852023:VP852024 VB917559:VP917560 VB983095:VP983096 AEX55:AFL56 AEX65591:AFL65592 AEX131127:AFL131128 AEX196663:AFL196664 AEX262199:AFL262200 AEX327735:AFL327736 AEX393271:AFL393272 AEX458807:AFL458808 AEX524343:AFL524344 AEX589879:AFL589880 AEX655415:AFL655416 AEX720951:AFL720952 AEX786487:AFL786488 AEX852023:AFL852024 AEX917559:AFL917560 AEX983095:AFL983096 AOT55:APH56 AOT65591:APH65592 AOT131127:APH131128 AOT196663:APH196664 AOT262199:APH262200 AOT327735:APH327736 AOT393271:APH393272 AOT458807:APH458808 AOT524343:APH524344 AOT589879:APH589880 AOT655415:APH655416 AOT720951:APH720952 AOT786487:APH786488 AOT852023:APH852024 AOT917559:APH917560 AOT983095:APH983096 AYP55:AZD56 AYP65591:AZD65592 AYP131127:AZD131128 AYP196663:AZD196664 AYP262199:AZD262200 AYP327735:AZD327736 AYP393271:AZD393272 AYP458807:AZD458808 AYP524343:AZD524344 AYP589879:AZD589880 AYP655415:AZD655416 AYP720951:AZD720952 AYP786487:AZD786488 AYP852023:AZD852024 AYP917559:AZD917560 AYP983095:AZD983096 BIL55:BIZ56 BIL65591:BIZ65592 BIL131127:BIZ131128 BIL196663:BIZ196664 BIL262199:BIZ262200 BIL327735:BIZ327736 BIL393271:BIZ393272 BIL458807:BIZ458808 BIL524343:BIZ524344 BIL589879:BIZ589880 BIL655415:BIZ655416 BIL720951:BIZ720952 BIL786487:BIZ786488 BIL852023:BIZ852024 BIL917559:BIZ917560 BIL983095:BIZ983096 BSH55:BSV56 BSH65591:BSV65592 BSH131127:BSV131128 BSH196663:BSV196664 BSH262199:BSV262200 BSH327735:BSV327736 BSH393271:BSV393272 BSH458807:BSV458808 BSH524343:BSV524344 BSH589879:BSV589880 BSH655415:BSV655416 BSH720951:BSV720952 BSH786487:BSV786488 BSH852023:BSV852024 BSH917559:BSV917560 BSH983095:BSV983096 CCD55:CCR56 CCD65591:CCR65592 CCD131127:CCR131128 CCD196663:CCR196664 CCD262199:CCR262200 CCD327735:CCR327736 CCD393271:CCR393272 CCD458807:CCR458808 CCD524343:CCR524344 CCD589879:CCR589880 CCD655415:CCR655416 CCD720951:CCR720952 CCD786487:CCR786488 CCD852023:CCR852024 CCD917559:CCR917560 CCD983095:CCR983096 CLZ55:CMN56 CLZ65591:CMN65592 CLZ131127:CMN131128 CLZ196663:CMN196664 CLZ262199:CMN262200 CLZ327735:CMN327736 CLZ393271:CMN393272 CLZ458807:CMN458808 CLZ524343:CMN524344 CLZ589879:CMN589880 CLZ655415:CMN655416 CLZ720951:CMN720952 CLZ786487:CMN786488 CLZ852023:CMN852024 CLZ917559:CMN917560 CLZ983095:CMN983096 CVV55:CWJ56 CVV65591:CWJ65592 CVV131127:CWJ131128 CVV196663:CWJ196664 CVV262199:CWJ262200 CVV327735:CWJ327736 CVV393271:CWJ393272 CVV458807:CWJ458808 CVV524343:CWJ524344 CVV589879:CWJ589880 CVV655415:CWJ655416 CVV720951:CWJ720952 CVV786487:CWJ786488 CVV852023:CWJ852024 CVV917559:CWJ917560 CVV983095:CWJ983096 DFR55:DGF56 DFR65591:DGF65592 DFR131127:DGF131128 DFR196663:DGF196664 DFR262199:DGF262200 DFR327735:DGF327736 DFR393271:DGF393272 DFR458807:DGF458808 DFR524343:DGF524344 DFR589879:DGF589880 DFR655415:DGF655416 DFR720951:DGF720952 DFR786487:DGF786488 DFR852023:DGF852024 DFR917559:DGF917560 DFR983095:DGF983096 DPN55:DQB56 DPN65591:DQB65592 DPN131127:DQB131128 DPN196663:DQB196664 DPN262199:DQB262200 DPN327735:DQB327736 DPN393271:DQB393272 DPN458807:DQB458808 DPN524343:DQB524344 DPN589879:DQB589880 DPN655415:DQB655416 DPN720951:DQB720952 DPN786487:DQB786488 DPN852023:DQB852024 DPN917559:DQB917560 DPN983095:DQB983096 DZJ55:DZX56 DZJ65591:DZX65592 DZJ131127:DZX131128 DZJ196663:DZX196664 DZJ262199:DZX262200 DZJ327735:DZX327736 DZJ393271:DZX393272 DZJ458807:DZX458808 DZJ524343:DZX524344 DZJ589879:DZX589880 DZJ655415:DZX655416 DZJ720951:DZX720952 DZJ786487:DZX786488 DZJ852023:DZX852024 DZJ917559:DZX917560 DZJ983095:DZX983096 EJF55:EJT56 EJF65591:EJT65592 EJF131127:EJT131128 EJF196663:EJT196664 EJF262199:EJT262200 EJF327735:EJT327736 EJF393271:EJT393272 EJF458807:EJT458808 EJF524343:EJT524344 EJF589879:EJT589880 EJF655415:EJT655416 EJF720951:EJT720952 EJF786487:EJT786488 EJF852023:EJT852024 EJF917559:EJT917560 EJF983095:EJT983096 ETB55:ETP56 ETB65591:ETP65592 ETB131127:ETP131128 ETB196663:ETP196664 ETB262199:ETP262200 ETB327735:ETP327736 ETB393271:ETP393272 ETB458807:ETP458808 ETB524343:ETP524344 ETB589879:ETP589880 ETB655415:ETP655416 ETB720951:ETP720952 ETB786487:ETP786488 ETB852023:ETP852024 ETB917559:ETP917560 ETB983095:ETP983096 FCX55:FDL56 FCX65591:FDL65592 FCX131127:FDL131128 FCX196663:FDL196664 FCX262199:FDL262200 FCX327735:FDL327736 FCX393271:FDL393272 FCX458807:FDL458808 FCX524343:FDL524344 FCX589879:FDL589880 FCX655415:FDL655416 FCX720951:FDL720952 FCX786487:FDL786488 FCX852023:FDL852024 FCX917559:FDL917560 FCX983095:FDL983096 FMT55:FNH56 FMT65591:FNH65592 FMT131127:FNH131128 FMT196663:FNH196664 FMT262199:FNH262200 FMT327735:FNH327736 FMT393271:FNH393272 FMT458807:FNH458808 FMT524343:FNH524344 FMT589879:FNH589880 FMT655415:FNH655416 FMT720951:FNH720952 FMT786487:FNH786488 FMT852023:FNH852024 FMT917559:FNH917560 FMT983095:FNH983096 FWP55:FXD56 FWP65591:FXD65592 FWP131127:FXD131128 FWP196663:FXD196664 FWP262199:FXD262200 FWP327735:FXD327736 FWP393271:FXD393272 FWP458807:FXD458808 FWP524343:FXD524344 FWP589879:FXD589880 FWP655415:FXD655416 FWP720951:FXD720952 FWP786487:FXD786488 FWP852023:FXD852024 FWP917559:FXD917560 FWP983095:FXD983096 GGL55:GGZ56 GGL65591:GGZ65592 GGL131127:GGZ131128 GGL196663:GGZ196664 GGL262199:GGZ262200 GGL327735:GGZ327736 GGL393271:GGZ393272 GGL458807:GGZ458808 GGL524343:GGZ524344 GGL589879:GGZ589880 GGL655415:GGZ655416 GGL720951:GGZ720952 GGL786487:GGZ786488 GGL852023:GGZ852024 GGL917559:GGZ917560 GGL983095:GGZ983096 GQH55:GQV56 GQH65591:GQV65592 GQH131127:GQV131128 GQH196663:GQV196664 GQH262199:GQV262200 GQH327735:GQV327736 GQH393271:GQV393272 GQH458807:GQV458808 GQH524343:GQV524344 GQH589879:GQV589880 GQH655415:GQV655416 GQH720951:GQV720952 GQH786487:GQV786488 GQH852023:GQV852024 GQH917559:GQV917560 GQH983095:GQV983096 HAD55:HAR56 HAD65591:HAR65592 HAD131127:HAR131128 HAD196663:HAR196664 HAD262199:HAR262200 HAD327735:HAR327736 HAD393271:HAR393272 HAD458807:HAR458808 HAD524343:HAR524344 HAD589879:HAR589880 HAD655415:HAR655416 HAD720951:HAR720952 HAD786487:HAR786488 HAD852023:HAR852024 HAD917559:HAR917560 HAD983095:HAR983096 HJZ55:HKN56 HJZ65591:HKN65592 HJZ131127:HKN131128 HJZ196663:HKN196664 HJZ262199:HKN262200 HJZ327735:HKN327736 HJZ393271:HKN393272 HJZ458807:HKN458808 HJZ524343:HKN524344 HJZ589879:HKN589880 HJZ655415:HKN655416 HJZ720951:HKN720952 HJZ786487:HKN786488 HJZ852023:HKN852024 HJZ917559:HKN917560 HJZ983095:HKN983096 HTV55:HUJ56 HTV65591:HUJ65592 HTV131127:HUJ131128 HTV196663:HUJ196664 HTV262199:HUJ262200 HTV327735:HUJ327736 HTV393271:HUJ393272 HTV458807:HUJ458808 HTV524343:HUJ524344 HTV589879:HUJ589880 HTV655415:HUJ655416 HTV720951:HUJ720952 HTV786487:HUJ786488 HTV852023:HUJ852024 HTV917559:HUJ917560 HTV983095:HUJ983096 IDR55:IEF56 IDR65591:IEF65592 IDR131127:IEF131128 IDR196663:IEF196664 IDR262199:IEF262200 IDR327735:IEF327736 IDR393271:IEF393272 IDR458807:IEF458808 IDR524343:IEF524344 IDR589879:IEF589880 IDR655415:IEF655416 IDR720951:IEF720952 IDR786487:IEF786488 IDR852023:IEF852024 IDR917559:IEF917560 IDR983095:IEF983096 INN55:IOB56 INN65591:IOB65592 INN131127:IOB131128 INN196663:IOB196664 INN262199:IOB262200 INN327735:IOB327736 INN393271:IOB393272 INN458807:IOB458808 INN524343:IOB524344 INN589879:IOB589880 INN655415:IOB655416 INN720951:IOB720952 INN786487:IOB786488 INN852023:IOB852024 INN917559:IOB917560 INN983095:IOB983096 IXJ55:IXX56 IXJ65591:IXX65592 IXJ131127:IXX131128 IXJ196663:IXX196664 IXJ262199:IXX262200 IXJ327735:IXX327736 IXJ393271:IXX393272 IXJ458807:IXX458808 IXJ524343:IXX524344 IXJ589879:IXX589880 IXJ655415:IXX655416 IXJ720951:IXX720952 IXJ786487:IXX786488 IXJ852023:IXX852024 IXJ917559:IXX917560 IXJ983095:IXX983096 JHF55:JHT56 JHF65591:JHT65592 JHF131127:JHT131128 JHF196663:JHT196664 JHF262199:JHT262200 JHF327735:JHT327736 JHF393271:JHT393272 JHF458807:JHT458808 JHF524343:JHT524344 JHF589879:JHT589880 JHF655415:JHT655416 JHF720951:JHT720952 JHF786487:JHT786488 JHF852023:JHT852024 JHF917559:JHT917560 JHF983095:JHT983096 JRB55:JRP56 JRB65591:JRP65592 JRB131127:JRP131128 JRB196663:JRP196664 JRB262199:JRP262200 JRB327735:JRP327736 JRB393271:JRP393272 JRB458807:JRP458808 JRB524343:JRP524344 JRB589879:JRP589880 JRB655415:JRP655416 JRB720951:JRP720952 JRB786487:JRP786488 JRB852023:JRP852024 JRB917559:JRP917560 JRB983095:JRP983096 KAX55:KBL56 KAX65591:KBL65592 KAX131127:KBL131128 KAX196663:KBL196664 KAX262199:KBL262200 KAX327735:KBL327736 KAX393271:KBL393272 KAX458807:KBL458808 KAX524343:KBL524344 KAX589879:KBL589880 KAX655415:KBL655416 KAX720951:KBL720952 KAX786487:KBL786488 KAX852023:KBL852024 KAX917559:KBL917560 KAX983095:KBL983096 KKT55:KLH56 KKT65591:KLH65592 KKT131127:KLH131128 KKT196663:KLH196664 KKT262199:KLH262200 KKT327735:KLH327736 KKT393271:KLH393272 KKT458807:KLH458808 KKT524343:KLH524344 KKT589879:KLH589880 KKT655415:KLH655416 KKT720951:KLH720952 KKT786487:KLH786488 KKT852023:KLH852024 KKT917559:KLH917560 KKT983095:KLH983096 KUP55:KVD56 KUP65591:KVD65592 KUP131127:KVD131128 KUP196663:KVD196664 KUP262199:KVD262200 KUP327735:KVD327736 KUP393271:KVD393272 KUP458807:KVD458808 KUP524343:KVD524344 KUP589879:KVD589880 KUP655415:KVD655416 KUP720951:KVD720952 KUP786487:KVD786488 KUP852023:KVD852024 KUP917559:KVD917560 KUP983095:KVD983096 LEL55:LEZ56 LEL65591:LEZ65592 LEL131127:LEZ131128 LEL196663:LEZ196664 LEL262199:LEZ262200 LEL327735:LEZ327736 LEL393271:LEZ393272 LEL458807:LEZ458808 LEL524343:LEZ524344 LEL589879:LEZ589880 LEL655415:LEZ655416 LEL720951:LEZ720952 LEL786487:LEZ786488 LEL852023:LEZ852024 LEL917559:LEZ917560 LEL983095:LEZ983096 LOH55:LOV56 LOH65591:LOV65592 LOH131127:LOV131128 LOH196663:LOV196664 LOH262199:LOV262200 LOH327735:LOV327736 LOH393271:LOV393272 LOH458807:LOV458808 LOH524343:LOV524344 LOH589879:LOV589880 LOH655415:LOV655416 LOH720951:LOV720952 LOH786487:LOV786488 LOH852023:LOV852024 LOH917559:LOV917560 LOH983095:LOV983096 LYD55:LYR56 LYD65591:LYR65592 LYD131127:LYR131128 LYD196663:LYR196664 LYD262199:LYR262200 LYD327735:LYR327736 LYD393271:LYR393272 LYD458807:LYR458808 LYD524343:LYR524344 LYD589879:LYR589880 LYD655415:LYR655416 LYD720951:LYR720952 LYD786487:LYR786488 LYD852023:LYR852024 LYD917559:LYR917560 LYD983095:LYR983096 MHZ55:MIN56 MHZ65591:MIN65592 MHZ131127:MIN131128 MHZ196663:MIN196664 MHZ262199:MIN262200 MHZ327735:MIN327736 MHZ393271:MIN393272 MHZ458807:MIN458808 MHZ524343:MIN524344 MHZ589879:MIN589880 MHZ655415:MIN655416 MHZ720951:MIN720952 MHZ786487:MIN786488 MHZ852023:MIN852024 MHZ917559:MIN917560 MHZ983095:MIN983096 MRV55:MSJ56 MRV65591:MSJ65592 MRV131127:MSJ131128 MRV196663:MSJ196664 MRV262199:MSJ262200 MRV327735:MSJ327736 MRV393271:MSJ393272 MRV458807:MSJ458808 MRV524343:MSJ524344 MRV589879:MSJ589880 MRV655415:MSJ655416 MRV720951:MSJ720952 MRV786487:MSJ786488 MRV852023:MSJ852024 MRV917559:MSJ917560 MRV983095:MSJ983096 NBR55:NCF56 NBR65591:NCF65592 NBR131127:NCF131128 NBR196663:NCF196664 NBR262199:NCF262200 NBR327735:NCF327736 NBR393271:NCF393272 NBR458807:NCF458808 NBR524343:NCF524344 NBR589879:NCF589880 NBR655415:NCF655416 NBR720951:NCF720952 NBR786487:NCF786488 NBR852023:NCF852024 NBR917559:NCF917560 NBR983095:NCF983096 NLN55:NMB56 NLN65591:NMB65592 NLN131127:NMB131128 NLN196663:NMB196664 NLN262199:NMB262200 NLN327735:NMB327736 NLN393271:NMB393272 NLN458807:NMB458808 NLN524343:NMB524344 NLN589879:NMB589880 NLN655415:NMB655416 NLN720951:NMB720952 NLN786487:NMB786488 NLN852023:NMB852024 NLN917559:NMB917560 NLN983095:NMB983096 NVJ55:NVX56 NVJ65591:NVX65592 NVJ131127:NVX131128 NVJ196663:NVX196664 NVJ262199:NVX262200 NVJ327735:NVX327736 NVJ393271:NVX393272 NVJ458807:NVX458808 NVJ524343:NVX524344 NVJ589879:NVX589880 NVJ655415:NVX655416 NVJ720951:NVX720952 NVJ786487:NVX786488 NVJ852023:NVX852024 NVJ917559:NVX917560 NVJ983095:NVX983096 OFF55:OFT56 OFF65591:OFT65592 OFF131127:OFT131128 OFF196663:OFT196664 OFF262199:OFT262200 OFF327735:OFT327736 OFF393271:OFT393272 OFF458807:OFT458808 OFF524343:OFT524344 OFF589879:OFT589880 OFF655415:OFT655416 OFF720951:OFT720952 OFF786487:OFT786488 OFF852023:OFT852024 OFF917559:OFT917560 OFF983095:OFT983096 OPB55:OPP56 OPB65591:OPP65592 OPB131127:OPP131128 OPB196663:OPP196664 OPB262199:OPP262200 OPB327735:OPP327736 OPB393271:OPP393272 OPB458807:OPP458808 OPB524343:OPP524344 OPB589879:OPP589880 OPB655415:OPP655416 OPB720951:OPP720952 OPB786487:OPP786488 OPB852023:OPP852024 OPB917559:OPP917560 OPB983095:OPP983096 OYX55:OZL56 OYX65591:OZL65592 OYX131127:OZL131128 OYX196663:OZL196664 OYX262199:OZL262200 OYX327735:OZL327736 OYX393271:OZL393272 OYX458807:OZL458808 OYX524343:OZL524344 OYX589879:OZL589880 OYX655415:OZL655416 OYX720951:OZL720952 OYX786487:OZL786488 OYX852023:OZL852024 OYX917559:OZL917560 OYX983095:OZL983096 PIT55:PJH56 PIT65591:PJH65592 PIT131127:PJH131128 PIT196663:PJH196664 PIT262199:PJH262200 PIT327735:PJH327736 PIT393271:PJH393272 PIT458807:PJH458808 PIT524343:PJH524344 PIT589879:PJH589880 PIT655415:PJH655416 PIT720951:PJH720952 PIT786487:PJH786488 PIT852023:PJH852024 PIT917559:PJH917560 PIT983095:PJH983096 PSP55:PTD56 PSP65591:PTD65592 PSP131127:PTD131128 PSP196663:PTD196664 PSP262199:PTD262200 PSP327735:PTD327736 PSP393271:PTD393272 PSP458807:PTD458808 PSP524343:PTD524344 PSP589879:PTD589880 PSP655415:PTD655416 PSP720951:PTD720952 PSP786487:PTD786488 PSP852023:PTD852024 PSP917559:PTD917560 PSP983095:PTD983096 QCL55:QCZ56 QCL65591:QCZ65592 QCL131127:QCZ131128 QCL196663:QCZ196664 QCL262199:QCZ262200 QCL327735:QCZ327736 QCL393271:QCZ393272 QCL458807:QCZ458808 QCL524343:QCZ524344 QCL589879:QCZ589880 QCL655415:QCZ655416 QCL720951:QCZ720952 QCL786487:QCZ786488 QCL852023:QCZ852024 QCL917559:QCZ917560 QCL983095:QCZ983096 QMH55:QMV56 QMH65591:QMV65592 QMH131127:QMV131128 QMH196663:QMV196664 QMH262199:QMV262200 QMH327735:QMV327736 QMH393271:QMV393272 QMH458807:QMV458808 QMH524343:QMV524344 QMH589879:QMV589880 QMH655415:QMV655416 QMH720951:QMV720952 QMH786487:QMV786488 QMH852023:QMV852024 QMH917559:QMV917560 QMH983095:QMV983096 QWD55:QWR56 QWD65591:QWR65592 QWD131127:QWR131128 QWD196663:QWR196664 QWD262199:QWR262200 QWD327735:QWR327736 QWD393271:QWR393272 QWD458807:QWR458808 QWD524343:QWR524344 QWD589879:QWR589880 QWD655415:QWR655416 QWD720951:QWR720952 QWD786487:QWR786488 QWD852023:QWR852024 QWD917559:QWR917560 QWD983095:QWR983096 RFZ55:RGN56 RFZ65591:RGN65592 RFZ131127:RGN131128 RFZ196663:RGN196664 RFZ262199:RGN262200 RFZ327735:RGN327736 RFZ393271:RGN393272 RFZ458807:RGN458808 RFZ524343:RGN524344 RFZ589879:RGN589880 RFZ655415:RGN655416 RFZ720951:RGN720952 RFZ786487:RGN786488 RFZ852023:RGN852024 RFZ917559:RGN917560 RFZ983095:RGN983096 RPV55:RQJ56 RPV65591:RQJ65592 RPV131127:RQJ131128 RPV196663:RQJ196664 RPV262199:RQJ262200 RPV327735:RQJ327736 RPV393271:RQJ393272 RPV458807:RQJ458808 RPV524343:RQJ524344 RPV589879:RQJ589880 RPV655415:RQJ655416 RPV720951:RQJ720952 RPV786487:RQJ786488 RPV852023:RQJ852024 RPV917559:RQJ917560 RPV983095:RQJ983096 RZR55:SAF56 RZR65591:SAF65592 RZR131127:SAF131128 RZR196663:SAF196664 RZR262199:SAF262200 RZR327735:SAF327736 RZR393271:SAF393272 RZR458807:SAF458808 RZR524343:SAF524344 RZR589879:SAF589880 RZR655415:SAF655416 RZR720951:SAF720952 RZR786487:SAF786488 RZR852023:SAF852024 RZR917559:SAF917560 RZR983095:SAF983096 SJN55:SKB56 SJN65591:SKB65592 SJN131127:SKB131128 SJN196663:SKB196664 SJN262199:SKB262200 SJN327735:SKB327736 SJN393271:SKB393272 SJN458807:SKB458808 SJN524343:SKB524344 SJN589879:SKB589880 SJN655415:SKB655416 SJN720951:SKB720952 SJN786487:SKB786488 SJN852023:SKB852024 SJN917559:SKB917560 SJN983095:SKB983096 STJ55:STX56 STJ65591:STX65592 STJ131127:STX131128 STJ196663:STX196664 STJ262199:STX262200 STJ327735:STX327736 STJ393271:STX393272 STJ458807:STX458808 STJ524343:STX524344 STJ589879:STX589880 STJ655415:STX655416 STJ720951:STX720952 STJ786487:STX786488 STJ852023:STX852024 STJ917559:STX917560 STJ983095:STX983096 TDF55:TDT56 TDF65591:TDT65592 TDF131127:TDT131128 TDF196663:TDT196664 TDF262199:TDT262200 TDF327735:TDT327736 TDF393271:TDT393272 TDF458807:TDT458808 TDF524343:TDT524344 TDF589879:TDT589880 TDF655415:TDT655416 TDF720951:TDT720952 TDF786487:TDT786488 TDF852023:TDT852024 TDF917559:TDT917560 TDF983095:TDT983096 TNB55:TNP56 TNB65591:TNP65592 TNB131127:TNP131128 TNB196663:TNP196664 TNB262199:TNP262200 TNB327735:TNP327736 TNB393271:TNP393272 TNB458807:TNP458808 TNB524343:TNP524344 TNB589879:TNP589880 TNB655415:TNP655416 TNB720951:TNP720952 TNB786487:TNP786488 TNB852023:TNP852024 TNB917559:TNP917560 TNB983095:TNP983096 TWX55:TXL56 TWX65591:TXL65592 TWX131127:TXL131128 TWX196663:TXL196664 TWX262199:TXL262200 TWX327735:TXL327736 TWX393271:TXL393272 TWX458807:TXL458808 TWX524343:TXL524344 TWX589879:TXL589880 TWX655415:TXL655416 TWX720951:TXL720952 TWX786487:TXL786488 TWX852023:TXL852024 TWX917559:TXL917560 TWX983095:TXL983096 UGT55:UHH56 UGT65591:UHH65592 UGT131127:UHH131128 UGT196663:UHH196664 UGT262199:UHH262200 UGT327735:UHH327736 UGT393271:UHH393272 UGT458807:UHH458808 UGT524343:UHH524344 UGT589879:UHH589880 UGT655415:UHH655416 UGT720951:UHH720952 UGT786487:UHH786488 UGT852023:UHH852024 UGT917559:UHH917560 UGT983095:UHH983096 UQP55:URD56 UQP65591:URD65592 UQP131127:URD131128 UQP196663:URD196664 UQP262199:URD262200 UQP327735:URD327736 UQP393271:URD393272 UQP458807:URD458808 UQP524343:URD524344 UQP589879:URD589880 UQP655415:URD655416 UQP720951:URD720952 UQP786487:URD786488 UQP852023:URD852024 UQP917559:URD917560 UQP983095:URD983096 VAL55:VAZ56 VAL65591:VAZ65592 VAL131127:VAZ131128 VAL196663:VAZ196664 VAL262199:VAZ262200 VAL327735:VAZ327736 VAL393271:VAZ393272 VAL458807:VAZ458808 VAL524343:VAZ524344 VAL589879:VAZ589880 VAL655415:VAZ655416 VAL720951:VAZ720952 VAL786487:VAZ786488 VAL852023:VAZ852024 VAL917559:VAZ917560 VAL983095:VAZ983096 VKH55:VKV56 VKH65591:VKV65592 VKH131127:VKV131128 VKH196663:VKV196664 VKH262199:VKV262200 VKH327735:VKV327736 VKH393271:VKV393272 VKH458807:VKV458808 VKH524343:VKV524344 VKH589879:VKV589880 VKH655415:VKV655416 VKH720951:VKV720952 VKH786487:VKV786488 VKH852023:VKV852024 VKH917559:VKV917560 VKH983095:VKV983096 VUD55:VUR56 VUD65591:VUR65592 VUD131127:VUR131128 VUD196663:VUR196664 VUD262199:VUR262200 VUD327735:VUR327736 VUD393271:VUR393272 VUD458807:VUR458808 VUD524343:VUR524344 VUD589879:VUR589880 VUD655415:VUR655416 VUD720951:VUR720952 VUD786487:VUR786488 VUD852023:VUR852024 VUD917559:VUR917560 VUD983095:VUR983096 WDZ55:WEN56 WDZ65591:WEN65592 WDZ131127:WEN131128 WDZ196663:WEN196664 WDZ262199:WEN262200 WDZ327735:WEN327736 WDZ393271:WEN393272 WDZ458807:WEN458808 WDZ524343:WEN524344 WDZ589879:WEN589880 WDZ655415:WEN655416 WDZ720951:WEN720952 WDZ786487:WEN786488 WDZ852023:WEN852024 WDZ917559:WEN917560 WDZ983095:WEN983096 WNV55:WOJ56 WNV65591:WOJ65592 WNV131127:WOJ131128 WNV196663:WOJ196664 WNV262199:WOJ262200 WNV327735:WOJ327736 WNV393271:WOJ393272 WNV458807:WOJ458808 WNV524343:WOJ524344 WNV589879:WOJ589880 WNV655415:WOJ655416 WNV720951:WOJ720952 WNV786487:WOJ786488 WNV852023:WOJ852024 WNV917559:WOJ917560 WNV983095:WOJ983096 WXR55:WYF56 WXR65591:WYF65592 WXR131127:WYF131128 WXR196663:WYF196664 WXR262199:WYF262200 WXR327735:WYF327736 WXR393271:WYF393272 WXR458807:WYF458808 WXR524343:WYF524344 WXR589879:WYF589880 WXR655415:WYF655416 WXR720951:WYF720952 WXR786487:WYF786488 WXR852023:WYF852024 WXR917559:WYF917560 WXR983095:WYF983096" xr:uid="{00000000-0002-0000-0A00-000000000000}">
      <formula1>"　,FAX,メール"</formula1>
    </dataValidation>
    <dataValidation type="list" allowBlank="1" showInputMessage="1" showErrorMessage="1" sqref="BJ47:BX48 BJ65583:BX65584 BJ131119:BX131120 BJ196655:BX196656 BJ262191:BX262192 BJ327727:BX327728 BJ393263:BX393264 BJ458799:BX458800 BJ524335:BX524336 BJ589871:BX589872 BJ655407:BX655408 BJ720943:BX720944 BJ786479:BX786480 BJ852015:BX852016 BJ917551:BX917552 BJ983087:BX983088 LF47:LT48 LF65583:LT65584 LF131119:LT131120 LF196655:LT196656 LF262191:LT262192 LF327727:LT327728 LF393263:LT393264 LF458799:LT458800 LF524335:LT524336 LF589871:LT589872 LF655407:LT655408 LF720943:LT720944 LF786479:LT786480 LF852015:LT852016 LF917551:LT917552 LF983087:LT983088 VB47:VP48 VB65583:VP65584 VB131119:VP131120 VB196655:VP196656 VB262191:VP262192 VB327727:VP327728 VB393263:VP393264 VB458799:VP458800 VB524335:VP524336 VB589871:VP589872 VB655407:VP655408 VB720943:VP720944 VB786479:VP786480 VB852015:VP852016 VB917551:VP917552 VB983087:VP983088 AEX47:AFL48 AEX65583:AFL65584 AEX131119:AFL131120 AEX196655:AFL196656 AEX262191:AFL262192 AEX327727:AFL327728 AEX393263:AFL393264 AEX458799:AFL458800 AEX524335:AFL524336 AEX589871:AFL589872 AEX655407:AFL655408 AEX720943:AFL720944 AEX786479:AFL786480 AEX852015:AFL852016 AEX917551:AFL917552 AEX983087:AFL983088 AOT47:APH48 AOT65583:APH65584 AOT131119:APH131120 AOT196655:APH196656 AOT262191:APH262192 AOT327727:APH327728 AOT393263:APH393264 AOT458799:APH458800 AOT524335:APH524336 AOT589871:APH589872 AOT655407:APH655408 AOT720943:APH720944 AOT786479:APH786480 AOT852015:APH852016 AOT917551:APH917552 AOT983087:APH983088 AYP47:AZD48 AYP65583:AZD65584 AYP131119:AZD131120 AYP196655:AZD196656 AYP262191:AZD262192 AYP327727:AZD327728 AYP393263:AZD393264 AYP458799:AZD458800 AYP524335:AZD524336 AYP589871:AZD589872 AYP655407:AZD655408 AYP720943:AZD720944 AYP786479:AZD786480 AYP852015:AZD852016 AYP917551:AZD917552 AYP983087:AZD983088 BIL47:BIZ48 BIL65583:BIZ65584 BIL131119:BIZ131120 BIL196655:BIZ196656 BIL262191:BIZ262192 BIL327727:BIZ327728 BIL393263:BIZ393264 BIL458799:BIZ458800 BIL524335:BIZ524336 BIL589871:BIZ589872 BIL655407:BIZ655408 BIL720943:BIZ720944 BIL786479:BIZ786480 BIL852015:BIZ852016 BIL917551:BIZ917552 BIL983087:BIZ983088 BSH47:BSV48 BSH65583:BSV65584 BSH131119:BSV131120 BSH196655:BSV196656 BSH262191:BSV262192 BSH327727:BSV327728 BSH393263:BSV393264 BSH458799:BSV458800 BSH524335:BSV524336 BSH589871:BSV589872 BSH655407:BSV655408 BSH720943:BSV720944 BSH786479:BSV786480 BSH852015:BSV852016 BSH917551:BSV917552 BSH983087:BSV983088 CCD47:CCR48 CCD65583:CCR65584 CCD131119:CCR131120 CCD196655:CCR196656 CCD262191:CCR262192 CCD327727:CCR327728 CCD393263:CCR393264 CCD458799:CCR458800 CCD524335:CCR524336 CCD589871:CCR589872 CCD655407:CCR655408 CCD720943:CCR720944 CCD786479:CCR786480 CCD852015:CCR852016 CCD917551:CCR917552 CCD983087:CCR983088 CLZ47:CMN48 CLZ65583:CMN65584 CLZ131119:CMN131120 CLZ196655:CMN196656 CLZ262191:CMN262192 CLZ327727:CMN327728 CLZ393263:CMN393264 CLZ458799:CMN458800 CLZ524335:CMN524336 CLZ589871:CMN589872 CLZ655407:CMN655408 CLZ720943:CMN720944 CLZ786479:CMN786480 CLZ852015:CMN852016 CLZ917551:CMN917552 CLZ983087:CMN983088 CVV47:CWJ48 CVV65583:CWJ65584 CVV131119:CWJ131120 CVV196655:CWJ196656 CVV262191:CWJ262192 CVV327727:CWJ327728 CVV393263:CWJ393264 CVV458799:CWJ458800 CVV524335:CWJ524336 CVV589871:CWJ589872 CVV655407:CWJ655408 CVV720943:CWJ720944 CVV786479:CWJ786480 CVV852015:CWJ852016 CVV917551:CWJ917552 CVV983087:CWJ983088 DFR47:DGF48 DFR65583:DGF65584 DFR131119:DGF131120 DFR196655:DGF196656 DFR262191:DGF262192 DFR327727:DGF327728 DFR393263:DGF393264 DFR458799:DGF458800 DFR524335:DGF524336 DFR589871:DGF589872 DFR655407:DGF655408 DFR720943:DGF720944 DFR786479:DGF786480 DFR852015:DGF852016 DFR917551:DGF917552 DFR983087:DGF983088 DPN47:DQB48 DPN65583:DQB65584 DPN131119:DQB131120 DPN196655:DQB196656 DPN262191:DQB262192 DPN327727:DQB327728 DPN393263:DQB393264 DPN458799:DQB458800 DPN524335:DQB524336 DPN589871:DQB589872 DPN655407:DQB655408 DPN720943:DQB720944 DPN786479:DQB786480 DPN852015:DQB852016 DPN917551:DQB917552 DPN983087:DQB983088 DZJ47:DZX48 DZJ65583:DZX65584 DZJ131119:DZX131120 DZJ196655:DZX196656 DZJ262191:DZX262192 DZJ327727:DZX327728 DZJ393263:DZX393264 DZJ458799:DZX458800 DZJ524335:DZX524336 DZJ589871:DZX589872 DZJ655407:DZX655408 DZJ720943:DZX720944 DZJ786479:DZX786480 DZJ852015:DZX852016 DZJ917551:DZX917552 DZJ983087:DZX983088 EJF47:EJT48 EJF65583:EJT65584 EJF131119:EJT131120 EJF196655:EJT196656 EJF262191:EJT262192 EJF327727:EJT327728 EJF393263:EJT393264 EJF458799:EJT458800 EJF524335:EJT524336 EJF589871:EJT589872 EJF655407:EJT655408 EJF720943:EJT720944 EJF786479:EJT786480 EJF852015:EJT852016 EJF917551:EJT917552 EJF983087:EJT983088 ETB47:ETP48 ETB65583:ETP65584 ETB131119:ETP131120 ETB196655:ETP196656 ETB262191:ETP262192 ETB327727:ETP327728 ETB393263:ETP393264 ETB458799:ETP458800 ETB524335:ETP524336 ETB589871:ETP589872 ETB655407:ETP655408 ETB720943:ETP720944 ETB786479:ETP786480 ETB852015:ETP852016 ETB917551:ETP917552 ETB983087:ETP983088 FCX47:FDL48 FCX65583:FDL65584 FCX131119:FDL131120 FCX196655:FDL196656 FCX262191:FDL262192 FCX327727:FDL327728 FCX393263:FDL393264 FCX458799:FDL458800 FCX524335:FDL524336 FCX589871:FDL589872 FCX655407:FDL655408 FCX720943:FDL720944 FCX786479:FDL786480 FCX852015:FDL852016 FCX917551:FDL917552 FCX983087:FDL983088 FMT47:FNH48 FMT65583:FNH65584 FMT131119:FNH131120 FMT196655:FNH196656 FMT262191:FNH262192 FMT327727:FNH327728 FMT393263:FNH393264 FMT458799:FNH458800 FMT524335:FNH524336 FMT589871:FNH589872 FMT655407:FNH655408 FMT720943:FNH720944 FMT786479:FNH786480 FMT852015:FNH852016 FMT917551:FNH917552 FMT983087:FNH983088 FWP47:FXD48 FWP65583:FXD65584 FWP131119:FXD131120 FWP196655:FXD196656 FWP262191:FXD262192 FWP327727:FXD327728 FWP393263:FXD393264 FWP458799:FXD458800 FWP524335:FXD524336 FWP589871:FXD589872 FWP655407:FXD655408 FWP720943:FXD720944 FWP786479:FXD786480 FWP852015:FXD852016 FWP917551:FXD917552 FWP983087:FXD983088 GGL47:GGZ48 GGL65583:GGZ65584 GGL131119:GGZ131120 GGL196655:GGZ196656 GGL262191:GGZ262192 GGL327727:GGZ327728 GGL393263:GGZ393264 GGL458799:GGZ458800 GGL524335:GGZ524336 GGL589871:GGZ589872 GGL655407:GGZ655408 GGL720943:GGZ720944 GGL786479:GGZ786480 GGL852015:GGZ852016 GGL917551:GGZ917552 GGL983087:GGZ983088 GQH47:GQV48 GQH65583:GQV65584 GQH131119:GQV131120 GQH196655:GQV196656 GQH262191:GQV262192 GQH327727:GQV327728 GQH393263:GQV393264 GQH458799:GQV458800 GQH524335:GQV524336 GQH589871:GQV589872 GQH655407:GQV655408 GQH720943:GQV720944 GQH786479:GQV786480 GQH852015:GQV852016 GQH917551:GQV917552 GQH983087:GQV983088 HAD47:HAR48 HAD65583:HAR65584 HAD131119:HAR131120 HAD196655:HAR196656 HAD262191:HAR262192 HAD327727:HAR327728 HAD393263:HAR393264 HAD458799:HAR458800 HAD524335:HAR524336 HAD589871:HAR589872 HAD655407:HAR655408 HAD720943:HAR720944 HAD786479:HAR786480 HAD852015:HAR852016 HAD917551:HAR917552 HAD983087:HAR983088 HJZ47:HKN48 HJZ65583:HKN65584 HJZ131119:HKN131120 HJZ196655:HKN196656 HJZ262191:HKN262192 HJZ327727:HKN327728 HJZ393263:HKN393264 HJZ458799:HKN458800 HJZ524335:HKN524336 HJZ589871:HKN589872 HJZ655407:HKN655408 HJZ720943:HKN720944 HJZ786479:HKN786480 HJZ852015:HKN852016 HJZ917551:HKN917552 HJZ983087:HKN983088 HTV47:HUJ48 HTV65583:HUJ65584 HTV131119:HUJ131120 HTV196655:HUJ196656 HTV262191:HUJ262192 HTV327727:HUJ327728 HTV393263:HUJ393264 HTV458799:HUJ458800 HTV524335:HUJ524336 HTV589871:HUJ589872 HTV655407:HUJ655408 HTV720943:HUJ720944 HTV786479:HUJ786480 HTV852015:HUJ852016 HTV917551:HUJ917552 HTV983087:HUJ983088 IDR47:IEF48 IDR65583:IEF65584 IDR131119:IEF131120 IDR196655:IEF196656 IDR262191:IEF262192 IDR327727:IEF327728 IDR393263:IEF393264 IDR458799:IEF458800 IDR524335:IEF524336 IDR589871:IEF589872 IDR655407:IEF655408 IDR720943:IEF720944 IDR786479:IEF786480 IDR852015:IEF852016 IDR917551:IEF917552 IDR983087:IEF983088 INN47:IOB48 INN65583:IOB65584 INN131119:IOB131120 INN196655:IOB196656 INN262191:IOB262192 INN327727:IOB327728 INN393263:IOB393264 INN458799:IOB458800 INN524335:IOB524336 INN589871:IOB589872 INN655407:IOB655408 INN720943:IOB720944 INN786479:IOB786480 INN852015:IOB852016 INN917551:IOB917552 INN983087:IOB983088 IXJ47:IXX48 IXJ65583:IXX65584 IXJ131119:IXX131120 IXJ196655:IXX196656 IXJ262191:IXX262192 IXJ327727:IXX327728 IXJ393263:IXX393264 IXJ458799:IXX458800 IXJ524335:IXX524336 IXJ589871:IXX589872 IXJ655407:IXX655408 IXJ720943:IXX720944 IXJ786479:IXX786480 IXJ852015:IXX852016 IXJ917551:IXX917552 IXJ983087:IXX983088 JHF47:JHT48 JHF65583:JHT65584 JHF131119:JHT131120 JHF196655:JHT196656 JHF262191:JHT262192 JHF327727:JHT327728 JHF393263:JHT393264 JHF458799:JHT458800 JHF524335:JHT524336 JHF589871:JHT589872 JHF655407:JHT655408 JHF720943:JHT720944 JHF786479:JHT786480 JHF852015:JHT852016 JHF917551:JHT917552 JHF983087:JHT983088 JRB47:JRP48 JRB65583:JRP65584 JRB131119:JRP131120 JRB196655:JRP196656 JRB262191:JRP262192 JRB327727:JRP327728 JRB393263:JRP393264 JRB458799:JRP458800 JRB524335:JRP524336 JRB589871:JRP589872 JRB655407:JRP655408 JRB720943:JRP720944 JRB786479:JRP786480 JRB852015:JRP852016 JRB917551:JRP917552 JRB983087:JRP983088 KAX47:KBL48 KAX65583:KBL65584 KAX131119:KBL131120 KAX196655:KBL196656 KAX262191:KBL262192 KAX327727:KBL327728 KAX393263:KBL393264 KAX458799:KBL458800 KAX524335:KBL524336 KAX589871:KBL589872 KAX655407:KBL655408 KAX720943:KBL720944 KAX786479:KBL786480 KAX852015:KBL852016 KAX917551:KBL917552 KAX983087:KBL983088 KKT47:KLH48 KKT65583:KLH65584 KKT131119:KLH131120 KKT196655:KLH196656 KKT262191:KLH262192 KKT327727:KLH327728 KKT393263:KLH393264 KKT458799:KLH458800 KKT524335:KLH524336 KKT589871:KLH589872 KKT655407:KLH655408 KKT720943:KLH720944 KKT786479:KLH786480 KKT852015:KLH852016 KKT917551:KLH917552 KKT983087:KLH983088 KUP47:KVD48 KUP65583:KVD65584 KUP131119:KVD131120 KUP196655:KVD196656 KUP262191:KVD262192 KUP327727:KVD327728 KUP393263:KVD393264 KUP458799:KVD458800 KUP524335:KVD524336 KUP589871:KVD589872 KUP655407:KVD655408 KUP720943:KVD720944 KUP786479:KVD786480 KUP852015:KVD852016 KUP917551:KVD917552 KUP983087:KVD983088 LEL47:LEZ48 LEL65583:LEZ65584 LEL131119:LEZ131120 LEL196655:LEZ196656 LEL262191:LEZ262192 LEL327727:LEZ327728 LEL393263:LEZ393264 LEL458799:LEZ458800 LEL524335:LEZ524336 LEL589871:LEZ589872 LEL655407:LEZ655408 LEL720943:LEZ720944 LEL786479:LEZ786480 LEL852015:LEZ852016 LEL917551:LEZ917552 LEL983087:LEZ983088 LOH47:LOV48 LOH65583:LOV65584 LOH131119:LOV131120 LOH196655:LOV196656 LOH262191:LOV262192 LOH327727:LOV327728 LOH393263:LOV393264 LOH458799:LOV458800 LOH524335:LOV524336 LOH589871:LOV589872 LOH655407:LOV655408 LOH720943:LOV720944 LOH786479:LOV786480 LOH852015:LOV852016 LOH917551:LOV917552 LOH983087:LOV983088 LYD47:LYR48 LYD65583:LYR65584 LYD131119:LYR131120 LYD196655:LYR196656 LYD262191:LYR262192 LYD327727:LYR327728 LYD393263:LYR393264 LYD458799:LYR458800 LYD524335:LYR524336 LYD589871:LYR589872 LYD655407:LYR655408 LYD720943:LYR720944 LYD786479:LYR786480 LYD852015:LYR852016 LYD917551:LYR917552 LYD983087:LYR983088 MHZ47:MIN48 MHZ65583:MIN65584 MHZ131119:MIN131120 MHZ196655:MIN196656 MHZ262191:MIN262192 MHZ327727:MIN327728 MHZ393263:MIN393264 MHZ458799:MIN458800 MHZ524335:MIN524336 MHZ589871:MIN589872 MHZ655407:MIN655408 MHZ720943:MIN720944 MHZ786479:MIN786480 MHZ852015:MIN852016 MHZ917551:MIN917552 MHZ983087:MIN983088 MRV47:MSJ48 MRV65583:MSJ65584 MRV131119:MSJ131120 MRV196655:MSJ196656 MRV262191:MSJ262192 MRV327727:MSJ327728 MRV393263:MSJ393264 MRV458799:MSJ458800 MRV524335:MSJ524336 MRV589871:MSJ589872 MRV655407:MSJ655408 MRV720943:MSJ720944 MRV786479:MSJ786480 MRV852015:MSJ852016 MRV917551:MSJ917552 MRV983087:MSJ983088 NBR47:NCF48 NBR65583:NCF65584 NBR131119:NCF131120 NBR196655:NCF196656 NBR262191:NCF262192 NBR327727:NCF327728 NBR393263:NCF393264 NBR458799:NCF458800 NBR524335:NCF524336 NBR589871:NCF589872 NBR655407:NCF655408 NBR720943:NCF720944 NBR786479:NCF786480 NBR852015:NCF852016 NBR917551:NCF917552 NBR983087:NCF983088 NLN47:NMB48 NLN65583:NMB65584 NLN131119:NMB131120 NLN196655:NMB196656 NLN262191:NMB262192 NLN327727:NMB327728 NLN393263:NMB393264 NLN458799:NMB458800 NLN524335:NMB524336 NLN589871:NMB589872 NLN655407:NMB655408 NLN720943:NMB720944 NLN786479:NMB786480 NLN852015:NMB852016 NLN917551:NMB917552 NLN983087:NMB983088 NVJ47:NVX48 NVJ65583:NVX65584 NVJ131119:NVX131120 NVJ196655:NVX196656 NVJ262191:NVX262192 NVJ327727:NVX327728 NVJ393263:NVX393264 NVJ458799:NVX458800 NVJ524335:NVX524336 NVJ589871:NVX589872 NVJ655407:NVX655408 NVJ720943:NVX720944 NVJ786479:NVX786480 NVJ852015:NVX852016 NVJ917551:NVX917552 NVJ983087:NVX983088 OFF47:OFT48 OFF65583:OFT65584 OFF131119:OFT131120 OFF196655:OFT196656 OFF262191:OFT262192 OFF327727:OFT327728 OFF393263:OFT393264 OFF458799:OFT458800 OFF524335:OFT524336 OFF589871:OFT589872 OFF655407:OFT655408 OFF720943:OFT720944 OFF786479:OFT786480 OFF852015:OFT852016 OFF917551:OFT917552 OFF983087:OFT983088 OPB47:OPP48 OPB65583:OPP65584 OPB131119:OPP131120 OPB196655:OPP196656 OPB262191:OPP262192 OPB327727:OPP327728 OPB393263:OPP393264 OPB458799:OPP458800 OPB524335:OPP524336 OPB589871:OPP589872 OPB655407:OPP655408 OPB720943:OPP720944 OPB786479:OPP786480 OPB852015:OPP852016 OPB917551:OPP917552 OPB983087:OPP983088 OYX47:OZL48 OYX65583:OZL65584 OYX131119:OZL131120 OYX196655:OZL196656 OYX262191:OZL262192 OYX327727:OZL327728 OYX393263:OZL393264 OYX458799:OZL458800 OYX524335:OZL524336 OYX589871:OZL589872 OYX655407:OZL655408 OYX720943:OZL720944 OYX786479:OZL786480 OYX852015:OZL852016 OYX917551:OZL917552 OYX983087:OZL983088 PIT47:PJH48 PIT65583:PJH65584 PIT131119:PJH131120 PIT196655:PJH196656 PIT262191:PJH262192 PIT327727:PJH327728 PIT393263:PJH393264 PIT458799:PJH458800 PIT524335:PJH524336 PIT589871:PJH589872 PIT655407:PJH655408 PIT720943:PJH720944 PIT786479:PJH786480 PIT852015:PJH852016 PIT917551:PJH917552 PIT983087:PJH983088 PSP47:PTD48 PSP65583:PTD65584 PSP131119:PTD131120 PSP196655:PTD196656 PSP262191:PTD262192 PSP327727:PTD327728 PSP393263:PTD393264 PSP458799:PTD458800 PSP524335:PTD524336 PSP589871:PTD589872 PSP655407:PTD655408 PSP720943:PTD720944 PSP786479:PTD786480 PSP852015:PTD852016 PSP917551:PTD917552 PSP983087:PTD983088 QCL47:QCZ48 QCL65583:QCZ65584 QCL131119:QCZ131120 QCL196655:QCZ196656 QCL262191:QCZ262192 QCL327727:QCZ327728 QCL393263:QCZ393264 QCL458799:QCZ458800 QCL524335:QCZ524336 QCL589871:QCZ589872 QCL655407:QCZ655408 QCL720943:QCZ720944 QCL786479:QCZ786480 QCL852015:QCZ852016 QCL917551:QCZ917552 QCL983087:QCZ983088 QMH47:QMV48 QMH65583:QMV65584 QMH131119:QMV131120 QMH196655:QMV196656 QMH262191:QMV262192 QMH327727:QMV327728 QMH393263:QMV393264 QMH458799:QMV458800 QMH524335:QMV524336 QMH589871:QMV589872 QMH655407:QMV655408 QMH720943:QMV720944 QMH786479:QMV786480 QMH852015:QMV852016 QMH917551:QMV917552 QMH983087:QMV983088 QWD47:QWR48 QWD65583:QWR65584 QWD131119:QWR131120 QWD196655:QWR196656 QWD262191:QWR262192 QWD327727:QWR327728 QWD393263:QWR393264 QWD458799:QWR458800 QWD524335:QWR524336 QWD589871:QWR589872 QWD655407:QWR655408 QWD720943:QWR720944 QWD786479:QWR786480 QWD852015:QWR852016 QWD917551:QWR917552 QWD983087:QWR983088 RFZ47:RGN48 RFZ65583:RGN65584 RFZ131119:RGN131120 RFZ196655:RGN196656 RFZ262191:RGN262192 RFZ327727:RGN327728 RFZ393263:RGN393264 RFZ458799:RGN458800 RFZ524335:RGN524336 RFZ589871:RGN589872 RFZ655407:RGN655408 RFZ720943:RGN720944 RFZ786479:RGN786480 RFZ852015:RGN852016 RFZ917551:RGN917552 RFZ983087:RGN983088 RPV47:RQJ48 RPV65583:RQJ65584 RPV131119:RQJ131120 RPV196655:RQJ196656 RPV262191:RQJ262192 RPV327727:RQJ327728 RPV393263:RQJ393264 RPV458799:RQJ458800 RPV524335:RQJ524336 RPV589871:RQJ589872 RPV655407:RQJ655408 RPV720943:RQJ720944 RPV786479:RQJ786480 RPV852015:RQJ852016 RPV917551:RQJ917552 RPV983087:RQJ983088 RZR47:SAF48 RZR65583:SAF65584 RZR131119:SAF131120 RZR196655:SAF196656 RZR262191:SAF262192 RZR327727:SAF327728 RZR393263:SAF393264 RZR458799:SAF458800 RZR524335:SAF524336 RZR589871:SAF589872 RZR655407:SAF655408 RZR720943:SAF720944 RZR786479:SAF786480 RZR852015:SAF852016 RZR917551:SAF917552 RZR983087:SAF983088 SJN47:SKB48 SJN65583:SKB65584 SJN131119:SKB131120 SJN196655:SKB196656 SJN262191:SKB262192 SJN327727:SKB327728 SJN393263:SKB393264 SJN458799:SKB458800 SJN524335:SKB524336 SJN589871:SKB589872 SJN655407:SKB655408 SJN720943:SKB720944 SJN786479:SKB786480 SJN852015:SKB852016 SJN917551:SKB917552 SJN983087:SKB983088 STJ47:STX48 STJ65583:STX65584 STJ131119:STX131120 STJ196655:STX196656 STJ262191:STX262192 STJ327727:STX327728 STJ393263:STX393264 STJ458799:STX458800 STJ524335:STX524336 STJ589871:STX589872 STJ655407:STX655408 STJ720943:STX720944 STJ786479:STX786480 STJ852015:STX852016 STJ917551:STX917552 STJ983087:STX983088 TDF47:TDT48 TDF65583:TDT65584 TDF131119:TDT131120 TDF196655:TDT196656 TDF262191:TDT262192 TDF327727:TDT327728 TDF393263:TDT393264 TDF458799:TDT458800 TDF524335:TDT524336 TDF589871:TDT589872 TDF655407:TDT655408 TDF720943:TDT720944 TDF786479:TDT786480 TDF852015:TDT852016 TDF917551:TDT917552 TDF983087:TDT983088 TNB47:TNP48 TNB65583:TNP65584 TNB131119:TNP131120 TNB196655:TNP196656 TNB262191:TNP262192 TNB327727:TNP327728 TNB393263:TNP393264 TNB458799:TNP458800 TNB524335:TNP524336 TNB589871:TNP589872 TNB655407:TNP655408 TNB720943:TNP720944 TNB786479:TNP786480 TNB852015:TNP852016 TNB917551:TNP917552 TNB983087:TNP983088 TWX47:TXL48 TWX65583:TXL65584 TWX131119:TXL131120 TWX196655:TXL196656 TWX262191:TXL262192 TWX327727:TXL327728 TWX393263:TXL393264 TWX458799:TXL458800 TWX524335:TXL524336 TWX589871:TXL589872 TWX655407:TXL655408 TWX720943:TXL720944 TWX786479:TXL786480 TWX852015:TXL852016 TWX917551:TXL917552 TWX983087:TXL983088 UGT47:UHH48 UGT65583:UHH65584 UGT131119:UHH131120 UGT196655:UHH196656 UGT262191:UHH262192 UGT327727:UHH327728 UGT393263:UHH393264 UGT458799:UHH458800 UGT524335:UHH524336 UGT589871:UHH589872 UGT655407:UHH655408 UGT720943:UHH720944 UGT786479:UHH786480 UGT852015:UHH852016 UGT917551:UHH917552 UGT983087:UHH983088 UQP47:URD48 UQP65583:URD65584 UQP131119:URD131120 UQP196655:URD196656 UQP262191:URD262192 UQP327727:URD327728 UQP393263:URD393264 UQP458799:URD458800 UQP524335:URD524336 UQP589871:URD589872 UQP655407:URD655408 UQP720943:URD720944 UQP786479:URD786480 UQP852015:URD852016 UQP917551:URD917552 UQP983087:URD983088 VAL47:VAZ48 VAL65583:VAZ65584 VAL131119:VAZ131120 VAL196655:VAZ196656 VAL262191:VAZ262192 VAL327727:VAZ327728 VAL393263:VAZ393264 VAL458799:VAZ458800 VAL524335:VAZ524336 VAL589871:VAZ589872 VAL655407:VAZ655408 VAL720943:VAZ720944 VAL786479:VAZ786480 VAL852015:VAZ852016 VAL917551:VAZ917552 VAL983087:VAZ983088 VKH47:VKV48 VKH65583:VKV65584 VKH131119:VKV131120 VKH196655:VKV196656 VKH262191:VKV262192 VKH327727:VKV327728 VKH393263:VKV393264 VKH458799:VKV458800 VKH524335:VKV524336 VKH589871:VKV589872 VKH655407:VKV655408 VKH720943:VKV720944 VKH786479:VKV786480 VKH852015:VKV852016 VKH917551:VKV917552 VKH983087:VKV983088 VUD47:VUR48 VUD65583:VUR65584 VUD131119:VUR131120 VUD196655:VUR196656 VUD262191:VUR262192 VUD327727:VUR327728 VUD393263:VUR393264 VUD458799:VUR458800 VUD524335:VUR524336 VUD589871:VUR589872 VUD655407:VUR655408 VUD720943:VUR720944 VUD786479:VUR786480 VUD852015:VUR852016 VUD917551:VUR917552 VUD983087:VUR983088 WDZ47:WEN48 WDZ65583:WEN65584 WDZ131119:WEN131120 WDZ196655:WEN196656 WDZ262191:WEN262192 WDZ327727:WEN327728 WDZ393263:WEN393264 WDZ458799:WEN458800 WDZ524335:WEN524336 WDZ589871:WEN589872 WDZ655407:WEN655408 WDZ720943:WEN720944 WDZ786479:WEN786480 WDZ852015:WEN852016 WDZ917551:WEN917552 WDZ983087:WEN983088 WNV47:WOJ48 WNV65583:WOJ65584 WNV131119:WOJ131120 WNV196655:WOJ196656 WNV262191:WOJ262192 WNV327727:WOJ327728 WNV393263:WOJ393264 WNV458799:WOJ458800 WNV524335:WOJ524336 WNV589871:WOJ589872 WNV655407:WOJ655408 WNV720943:WOJ720944 WNV786479:WOJ786480 WNV852015:WOJ852016 WNV917551:WOJ917552 WNV983087:WOJ983088 WXR47:WYF48 WXR65583:WYF65584 WXR131119:WYF131120 WXR196655:WYF196656 WXR262191:WYF262192 WXR327727:WYF327728 WXR393263:WYF393264 WXR458799:WYF458800 WXR524335:WYF524336 WXR589871:WYF589872 WXR655407:WYF655408 WXR720943:WYF720944 WXR786479:WYF786480 WXR852015:WYF852016 WXR917551:WYF917552 WXR983087:WYF983088" xr:uid="{00000000-0002-0000-0A00-000001000000}">
      <formula1>"　,1,2,3,4,5,6,7,8,9,10,11,12,13,14,15,16,17,18,19,20,21,22,23,24,25,26,27,28,29,30,31"</formula1>
    </dataValidation>
    <dataValidation type="list" allowBlank="1" showInputMessage="1" showErrorMessage="1" sqref="BJ45:BX46 BJ65581:BX65582 BJ131117:BX131118 BJ196653:BX196654 BJ262189:BX262190 BJ327725:BX327726 BJ393261:BX393262 BJ458797:BX458798 BJ524333:BX524334 BJ589869:BX589870 BJ655405:BX655406 BJ720941:BX720942 BJ786477:BX786478 BJ852013:BX852014 BJ917549:BX917550 BJ983085:BX983086 LF45:LT46 LF65581:LT65582 LF131117:LT131118 LF196653:LT196654 LF262189:LT262190 LF327725:LT327726 LF393261:LT393262 LF458797:LT458798 LF524333:LT524334 LF589869:LT589870 LF655405:LT655406 LF720941:LT720942 LF786477:LT786478 LF852013:LT852014 LF917549:LT917550 LF983085:LT983086 VB45:VP46 VB65581:VP65582 VB131117:VP131118 VB196653:VP196654 VB262189:VP262190 VB327725:VP327726 VB393261:VP393262 VB458797:VP458798 VB524333:VP524334 VB589869:VP589870 VB655405:VP655406 VB720941:VP720942 VB786477:VP786478 VB852013:VP852014 VB917549:VP917550 VB983085:VP983086 AEX45:AFL46 AEX65581:AFL65582 AEX131117:AFL131118 AEX196653:AFL196654 AEX262189:AFL262190 AEX327725:AFL327726 AEX393261:AFL393262 AEX458797:AFL458798 AEX524333:AFL524334 AEX589869:AFL589870 AEX655405:AFL655406 AEX720941:AFL720942 AEX786477:AFL786478 AEX852013:AFL852014 AEX917549:AFL917550 AEX983085:AFL983086 AOT45:APH46 AOT65581:APH65582 AOT131117:APH131118 AOT196653:APH196654 AOT262189:APH262190 AOT327725:APH327726 AOT393261:APH393262 AOT458797:APH458798 AOT524333:APH524334 AOT589869:APH589870 AOT655405:APH655406 AOT720941:APH720942 AOT786477:APH786478 AOT852013:APH852014 AOT917549:APH917550 AOT983085:APH983086 AYP45:AZD46 AYP65581:AZD65582 AYP131117:AZD131118 AYP196653:AZD196654 AYP262189:AZD262190 AYP327725:AZD327726 AYP393261:AZD393262 AYP458797:AZD458798 AYP524333:AZD524334 AYP589869:AZD589870 AYP655405:AZD655406 AYP720941:AZD720942 AYP786477:AZD786478 AYP852013:AZD852014 AYP917549:AZD917550 AYP983085:AZD983086 BIL45:BIZ46 BIL65581:BIZ65582 BIL131117:BIZ131118 BIL196653:BIZ196654 BIL262189:BIZ262190 BIL327725:BIZ327726 BIL393261:BIZ393262 BIL458797:BIZ458798 BIL524333:BIZ524334 BIL589869:BIZ589870 BIL655405:BIZ655406 BIL720941:BIZ720942 BIL786477:BIZ786478 BIL852013:BIZ852014 BIL917549:BIZ917550 BIL983085:BIZ983086 BSH45:BSV46 BSH65581:BSV65582 BSH131117:BSV131118 BSH196653:BSV196654 BSH262189:BSV262190 BSH327725:BSV327726 BSH393261:BSV393262 BSH458797:BSV458798 BSH524333:BSV524334 BSH589869:BSV589870 BSH655405:BSV655406 BSH720941:BSV720942 BSH786477:BSV786478 BSH852013:BSV852014 BSH917549:BSV917550 BSH983085:BSV983086 CCD45:CCR46 CCD65581:CCR65582 CCD131117:CCR131118 CCD196653:CCR196654 CCD262189:CCR262190 CCD327725:CCR327726 CCD393261:CCR393262 CCD458797:CCR458798 CCD524333:CCR524334 CCD589869:CCR589870 CCD655405:CCR655406 CCD720941:CCR720942 CCD786477:CCR786478 CCD852013:CCR852014 CCD917549:CCR917550 CCD983085:CCR983086 CLZ45:CMN46 CLZ65581:CMN65582 CLZ131117:CMN131118 CLZ196653:CMN196654 CLZ262189:CMN262190 CLZ327725:CMN327726 CLZ393261:CMN393262 CLZ458797:CMN458798 CLZ524333:CMN524334 CLZ589869:CMN589870 CLZ655405:CMN655406 CLZ720941:CMN720942 CLZ786477:CMN786478 CLZ852013:CMN852014 CLZ917549:CMN917550 CLZ983085:CMN983086 CVV45:CWJ46 CVV65581:CWJ65582 CVV131117:CWJ131118 CVV196653:CWJ196654 CVV262189:CWJ262190 CVV327725:CWJ327726 CVV393261:CWJ393262 CVV458797:CWJ458798 CVV524333:CWJ524334 CVV589869:CWJ589870 CVV655405:CWJ655406 CVV720941:CWJ720942 CVV786477:CWJ786478 CVV852013:CWJ852014 CVV917549:CWJ917550 CVV983085:CWJ983086 DFR45:DGF46 DFR65581:DGF65582 DFR131117:DGF131118 DFR196653:DGF196654 DFR262189:DGF262190 DFR327725:DGF327726 DFR393261:DGF393262 DFR458797:DGF458798 DFR524333:DGF524334 DFR589869:DGF589870 DFR655405:DGF655406 DFR720941:DGF720942 DFR786477:DGF786478 DFR852013:DGF852014 DFR917549:DGF917550 DFR983085:DGF983086 DPN45:DQB46 DPN65581:DQB65582 DPN131117:DQB131118 DPN196653:DQB196654 DPN262189:DQB262190 DPN327725:DQB327726 DPN393261:DQB393262 DPN458797:DQB458798 DPN524333:DQB524334 DPN589869:DQB589870 DPN655405:DQB655406 DPN720941:DQB720942 DPN786477:DQB786478 DPN852013:DQB852014 DPN917549:DQB917550 DPN983085:DQB983086 DZJ45:DZX46 DZJ65581:DZX65582 DZJ131117:DZX131118 DZJ196653:DZX196654 DZJ262189:DZX262190 DZJ327725:DZX327726 DZJ393261:DZX393262 DZJ458797:DZX458798 DZJ524333:DZX524334 DZJ589869:DZX589870 DZJ655405:DZX655406 DZJ720941:DZX720942 DZJ786477:DZX786478 DZJ852013:DZX852014 DZJ917549:DZX917550 DZJ983085:DZX983086 EJF45:EJT46 EJF65581:EJT65582 EJF131117:EJT131118 EJF196653:EJT196654 EJF262189:EJT262190 EJF327725:EJT327726 EJF393261:EJT393262 EJF458797:EJT458798 EJF524333:EJT524334 EJF589869:EJT589870 EJF655405:EJT655406 EJF720941:EJT720942 EJF786477:EJT786478 EJF852013:EJT852014 EJF917549:EJT917550 EJF983085:EJT983086 ETB45:ETP46 ETB65581:ETP65582 ETB131117:ETP131118 ETB196653:ETP196654 ETB262189:ETP262190 ETB327725:ETP327726 ETB393261:ETP393262 ETB458797:ETP458798 ETB524333:ETP524334 ETB589869:ETP589870 ETB655405:ETP655406 ETB720941:ETP720942 ETB786477:ETP786478 ETB852013:ETP852014 ETB917549:ETP917550 ETB983085:ETP983086 FCX45:FDL46 FCX65581:FDL65582 FCX131117:FDL131118 FCX196653:FDL196654 FCX262189:FDL262190 FCX327725:FDL327726 FCX393261:FDL393262 FCX458797:FDL458798 FCX524333:FDL524334 FCX589869:FDL589870 FCX655405:FDL655406 FCX720941:FDL720942 FCX786477:FDL786478 FCX852013:FDL852014 FCX917549:FDL917550 FCX983085:FDL983086 FMT45:FNH46 FMT65581:FNH65582 FMT131117:FNH131118 FMT196653:FNH196654 FMT262189:FNH262190 FMT327725:FNH327726 FMT393261:FNH393262 FMT458797:FNH458798 FMT524333:FNH524334 FMT589869:FNH589870 FMT655405:FNH655406 FMT720941:FNH720942 FMT786477:FNH786478 FMT852013:FNH852014 FMT917549:FNH917550 FMT983085:FNH983086 FWP45:FXD46 FWP65581:FXD65582 FWP131117:FXD131118 FWP196653:FXD196654 FWP262189:FXD262190 FWP327725:FXD327726 FWP393261:FXD393262 FWP458797:FXD458798 FWP524333:FXD524334 FWP589869:FXD589870 FWP655405:FXD655406 FWP720941:FXD720942 FWP786477:FXD786478 FWP852013:FXD852014 FWP917549:FXD917550 FWP983085:FXD983086 GGL45:GGZ46 GGL65581:GGZ65582 GGL131117:GGZ131118 GGL196653:GGZ196654 GGL262189:GGZ262190 GGL327725:GGZ327726 GGL393261:GGZ393262 GGL458797:GGZ458798 GGL524333:GGZ524334 GGL589869:GGZ589870 GGL655405:GGZ655406 GGL720941:GGZ720942 GGL786477:GGZ786478 GGL852013:GGZ852014 GGL917549:GGZ917550 GGL983085:GGZ983086 GQH45:GQV46 GQH65581:GQV65582 GQH131117:GQV131118 GQH196653:GQV196654 GQH262189:GQV262190 GQH327725:GQV327726 GQH393261:GQV393262 GQH458797:GQV458798 GQH524333:GQV524334 GQH589869:GQV589870 GQH655405:GQV655406 GQH720941:GQV720942 GQH786477:GQV786478 GQH852013:GQV852014 GQH917549:GQV917550 GQH983085:GQV983086 HAD45:HAR46 HAD65581:HAR65582 HAD131117:HAR131118 HAD196653:HAR196654 HAD262189:HAR262190 HAD327725:HAR327726 HAD393261:HAR393262 HAD458797:HAR458798 HAD524333:HAR524334 HAD589869:HAR589870 HAD655405:HAR655406 HAD720941:HAR720942 HAD786477:HAR786478 HAD852013:HAR852014 HAD917549:HAR917550 HAD983085:HAR983086 HJZ45:HKN46 HJZ65581:HKN65582 HJZ131117:HKN131118 HJZ196653:HKN196654 HJZ262189:HKN262190 HJZ327725:HKN327726 HJZ393261:HKN393262 HJZ458797:HKN458798 HJZ524333:HKN524334 HJZ589869:HKN589870 HJZ655405:HKN655406 HJZ720941:HKN720942 HJZ786477:HKN786478 HJZ852013:HKN852014 HJZ917549:HKN917550 HJZ983085:HKN983086 HTV45:HUJ46 HTV65581:HUJ65582 HTV131117:HUJ131118 HTV196653:HUJ196654 HTV262189:HUJ262190 HTV327725:HUJ327726 HTV393261:HUJ393262 HTV458797:HUJ458798 HTV524333:HUJ524334 HTV589869:HUJ589870 HTV655405:HUJ655406 HTV720941:HUJ720942 HTV786477:HUJ786478 HTV852013:HUJ852014 HTV917549:HUJ917550 HTV983085:HUJ983086 IDR45:IEF46 IDR65581:IEF65582 IDR131117:IEF131118 IDR196653:IEF196654 IDR262189:IEF262190 IDR327725:IEF327726 IDR393261:IEF393262 IDR458797:IEF458798 IDR524333:IEF524334 IDR589869:IEF589870 IDR655405:IEF655406 IDR720941:IEF720942 IDR786477:IEF786478 IDR852013:IEF852014 IDR917549:IEF917550 IDR983085:IEF983086 INN45:IOB46 INN65581:IOB65582 INN131117:IOB131118 INN196653:IOB196654 INN262189:IOB262190 INN327725:IOB327726 INN393261:IOB393262 INN458797:IOB458798 INN524333:IOB524334 INN589869:IOB589870 INN655405:IOB655406 INN720941:IOB720942 INN786477:IOB786478 INN852013:IOB852014 INN917549:IOB917550 INN983085:IOB983086 IXJ45:IXX46 IXJ65581:IXX65582 IXJ131117:IXX131118 IXJ196653:IXX196654 IXJ262189:IXX262190 IXJ327725:IXX327726 IXJ393261:IXX393262 IXJ458797:IXX458798 IXJ524333:IXX524334 IXJ589869:IXX589870 IXJ655405:IXX655406 IXJ720941:IXX720942 IXJ786477:IXX786478 IXJ852013:IXX852014 IXJ917549:IXX917550 IXJ983085:IXX983086 JHF45:JHT46 JHF65581:JHT65582 JHF131117:JHT131118 JHF196653:JHT196654 JHF262189:JHT262190 JHF327725:JHT327726 JHF393261:JHT393262 JHF458797:JHT458798 JHF524333:JHT524334 JHF589869:JHT589870 JHF655405:JHT655406 JHF720941:JHT720942 JHF786477:JHT786478 JHF852013:JHT852014 JHF917549:JHT917550 JHF983085:JHT983086 JRB45:JRP46 JRB65581:JRP65582 JRB131117:JRP131118 JRB196653:JRP196654 JRB262189:JRP262190 JRB327725:JRP327726 JRB393261:JRP393262 JRB458797:JRP458798 JRB524333:JRP524334 JRB589869:JRP589870 JRB655405:JRP655406 JRB720941:JRP720942 JRB786477:JRP786478 JRB852013:JRP852014 JRB917549:JRP917550 JRB983085:JRP983086 KAX45:KBL46 KAX65581:KBL65582 KAX131117:KBL131118 KAX196653:KBL196654 KAX262189:KBL262190 KAX327725:KBL327726 KAX393261:KBL393262 KAX458797:KBL458798 KAX524333:KBL524334 KAX589869:KBL589870 KAX655405:KBL655406 KAX720941:KBL720942 KAX786477:KBL786478 KAX852013:KBL852014 KAX917549:KBL917550 KAX983085:KBL983086 KKT45:KLH46 KKT65581:KLH65582 KKT131117:KLH131118 KKT196653:KLH196654 KKT262189:KLH262190 KKT327725:KLH327726 KKT393261:KLH393262 KKT458797:KLH458798 KKT524333:KLH524334 KKT589869:KLH589870 KKT655405:KLH655406 KKT720941:KLH720942 KKT786477:KLH786478 KKT852013:KLH852014 KKT917549:KLH917550 KKT983085:KLH983086 KUP45:KVD46 KUP65581:KVD65582 KUP131117:KVD131118 KUP196653:KVD196654 KUP262189:KVD262190 KUP327725:KVD327726 KUP393261:KVD393262 KUP458797:KVD458798 KUP524333:KVD524334 KUP589869:KVD589870 KUP655405:KVD655406 KUP720941:KVD720942 KUP786477:KVD786478 KUP852013:KVD852014 KUP917549:KVD917550 KUP983085:KVD983086 LEL45:LEZ46 LEL65581:LEZ65582 LEL131117:LEZ131118 LEL196653:LEZ196654 LEL262189:LEZ262190 LEL327725:LEZ327726 LEL393261:LEZ393262 LEL458797:LEZ458798 LEL524333:LEZ524334 LEL589869:LEZ589870 LEL655405:LEZ655406 LEL720941:LEZ720942 LEL786477:LEZ786478 LEL852013:LEZ852014 LEL917549:LEZ917550 LEL983085:LEZ983086 LOH45:LOV46 LOH65581:LOV65582 LOH131117:LOV131118 LOH196653:LOV196654 LOH262189:LOV262190 LOH327725:LOV327726 LOH393261:LOV393262 LOH458797:LOV458798 LOH524333:LOV524334 LOH589869:LOV589870 LOH655405:LOV655406 LOH720941:LOV720942 LOH786477:LOV786478 LOH852013:LOV852014 LOH917549:LOV917550 LOH983085:LOV983086 LYD45:LYR46 LYD65581:LYR65582 LYD131117:LYR131118 LYD196653:LYR196654 LYD262189:LYR262190 LYD327725:LYR327726 LYD393261:LYR393262 LYD458797:LYR458798 LYD524333:LYR524334 LYD589869:LYR589870 LYD655405:LYR655406 LYD720941:LYR720942 LYD786477:LYR786478 LYD852013:LYR852014 LYD917549:LYR917550 LYD983085:LYR983086 MHZ45:MIN46 MHZ65581:MIN65582 MHZ131117:MIN131118 MHZ196653:MIN196654 MHZ262189:MIN262190 MHZ327725:MIN327726 MHZ393261:MIN393262 MHZ458797:MIN458798 MHZ524333:MIN524334 MHZ589869:MIN589870 MHZ655405:MIN655406 MHZ720941:MIN720942 MHZ786477:MIN786478 MHZ852013:MIN852014 MHZ917549:MIN917550 MHZ983085:MIN983086 MRV45:MSJ46 MRV65581:MSJ65582 MRV131117:MSJ131118 MRV196653:MSJ196654 MRV262189:MSJ262190 MRV327725:MSJ327726 MRV393261:MSJ393262 MRV458797:MSJ458798 MRV524333:MSJ524334 MRV589869:MSJ589870 MRV655405:MSJ655406 MRV720941:MSJ720942 MRV786477:MSJ786478 MRV852013:MSJ852014 MRV917549:MSJ917550 MRV983085:MSJ983086 NBR45:NCF46 NBR65581:NCF65582 NBR131117:NCF131118 NBR196653:NCF196654 NBR262189:NCF262190 NBR327725:NCF327726 NBR393261:NCF393262 NBR458797:NCF458798 NBR524333:NCF524334 NBR589869:NCF589870 NBR655405:NCF655406 NBR720941:NCF720942 NBR786477:NCF786478 NBR852013:NCF852014 NBR917549:NCF917550 NBR983085:NCF983086 NLN45:NMB46 NLN65581:NMB65582 NLN131117:NMB131118 NLN196653:NMB196654 NLN262189:NMB262190 NLN327725:NMB327726 NLN393261:NMB393262 NLN458797:NMB458798 NLN524333:NMB524334 NLN589869:NMB589870 NLN655405:NMB655406 NLN720941:NMB720942 NLN786477:NMB786478 NLN852013:NMB852014 NLN917549:NMB917550 NLN983085:NMB983086 NVJ45:NVX46 NVJ65581:NVX65582 NVJ131117:NVX131118 NVJ196653:NVX196654 NVJ262189:NVX262190 NVJ327725:NVX327726 NVJ393261:NVX393262 NVJ458797:NVX458798 NVJ524333:NVX524334 NVJ589869:NVX589870 NVJ655405:NVX655406 NVJ720941:NVX720942 NVJ786477:NVX786478 NVJ852013:NVX852014 NVJ917549:NVX917550 NVJ983085:NVX983086 OFF45:OFT46 OFF65581:OFT65582 OFF131117:OFT131118 OFF196653:OFT196654 OFF262189:OFT262190 OFF327725:OFT327726 OFF393261:OFT393262 OFF458797:OFT458798 OFF524333:OFT524334 OFF589869:OFT589870 OFF655405:OFT655406 OFF720941:OFT720942 OFF786477:OFT786478 OFF852013:OFT852014 OFF917549:OFT917550 OFF983085:OFT983086 OPB45:OPP46 OPB65581:OPP65582 OPB131117:OPP131118 OPB196653:OPP196654 OPB262189:OPP262190 OPB327725:OPP327726 OPB393261:OPP393262 OPB458797:OPP458798 OPB524333:OPP524334 OPB589869:OPP589870 OPB655405:OPP655406 OPB720941:OPP720942 OPB786477:OPP786478 OPB852013:OPP852014 OPB917549:OPP917550 OPB983085:OPP983086 OYX45:OZL46 OYX65581:OZL65582 OYX131117:OZL131118 OYX196653:OZL196654 OYX262189:OZL262190 OYX327725:OZL327726 OYX393261:OZL393262 OYX458797:OZL458798 OYX524333:OZL524334 OYX589869:OZL589870 OYX655405:OZL655406 OYX720941:OZL720942 OYX786477:OZL786478 OYX852013:OZL852014 OYX917549:OZL917550 OYX983085:OZL983086 PIT45:PJH46 PIT65581:PJH65582 PIT131117:PJH131118 PIT196653:PJH196654 PIT262189:PJH262190 PIT327725:PJH327726 PIT393261:PJH393262 PIT458797:PJH458798 PIT524333:PJH524334 PIT589869:PJH589870 PIT655405:PJH655406 PIT720941:PJH720942 PIT786477:PJH786478 PIT852013:PJH852014 PIT917549:PJH917550 PIT983085:PJH983086 PSP45:PTD46 PSP65581:PTD65582 PSP131117:PTD131118 PSP196653:PTD196654 PSP262189:PTD262190 PSP327725:PTD327726 PSP393261:PTD393262 PSP458797:PTD458798 PSP524333:PTD524334 PSP589869:PTD589870 PSP655405:PTD655406 PSP720941:PTD720942 PSP786477:PTD786478 PSP852013:PTD852014 PSP917549:PTD917550 PSP983085:PTD983086 QCL45:QCZ46 QCL65581:QCZ65582 QCL131117:QCZ131118 QCL196653:QCZ196654 QCL262189:QCZ262190 QCL327725:QCZ327726 QCL393261:QCZ393262 QCL458797:QCZ458798 QCL524333:QCZ524334 QCL589869:QCZ589870 QCL655405:QCZ655406 QCL720941:QCZ720942 QCL786477:QCZ786478 QCL852013:QCZ852014 QCL917549:QCZ917550 QCL983085:QCZ983086 QMH45:QMV46 QMH65581:QMV65582 QMH131117:QMV131118 QMH196653:QMV196654 QMH262189:QMV262190 QMH327725:QMV327726 QMH393261:QMV393262 QMH458797:QMV458798 QMH524333:QMV524334 QMH589869:QMV589870 QMH655405:QMV655406 QMH720941:QMV720942 QMH786477:QMV786478 QMH852013:QMV852014 QMH917549:QMV917550 QMH983085:QMV983086 QWD45:QWR46 QWD65581:QWR65582 QWD131117:QWR131118 QWD196653:QWR196654 QWD262189:QWR262190 QWD327725:QWR327726 QWD393261:QWR393262 QWD458797:QWR458798 QWD524333:QWR524334 QWD589869:QWR589870 QWD655405:QWR655406 QWD720941:QWR720942 QWD786477:QWR786478 QWD852013:QWR852014 QWD917549:QWR917550 QWD983085:QWR983086 RFZ45:RGN46 RFZ65581:RGN65582 RFZ131117:RGN131118 RFZ196653:RGN196654 RFZ262189:RGN262190 RFZ327725:RGN327726 RFZ393261:RGN393262 RFZ458797:RGN458798 RFZ524333:RGN524334 RFZ589869:RGN589870 RFZ655405:RGN655406 RFZ720941:RGN720942 RFZ786477:RGN786478 RFZ852013:RGN852014 RFZ917549:RGN917550 RFZ983085:RGN983086 RPV45:RQJ46 RPV65581:RQJ65582 RPV131117:RQJ131118 RPV196653:RQJ196654 RPV262189:RQJ262190 RPV327725:RQJ327726 RPV393261:RQJ393262 RPV458797:RQJ458798 RPV524333:RQJ524334 RPV589869:RQJ589870 RPV655405:RQJ655406 RPV720941:RQJ720942 RPV786477:RQJ786478 RPV852013:RQJ852014 RPV917549:RQJ917550 RPV983085:RQJ983086 RZR45:SAF46 RZR65581:SAF65582 RZR131117:SAF131118 RZR196653:SAF196654 RZR262189:SAF262190 RZR327725:SAF327726 RZR393261:SAF393262 RZR458797:SAF458798 RZR524333:SAF524334 RZR589869:SAF589870 RZR655405:SAF655406 RZR720941:SAF720942 RZR786477:SAF786478 RZR852013:SAF852014 RZR917549:SAF917550 RZR983085:SAF983086 SJN45:SKB46 SJN65581:SKB65582 SJN131117:SKB131118 SJN196653:SKB196654 SJN262189:SKB262190 SJN327725:SKB327726 SJN393261:SKB393262 SJN458797:SKB458798 SJN524333:SKB524334 SJN589869:SKB589870 SJN655405:SKB655406 SJN720941:SKB720942 SJN786477:SKB786478 SJN852013:SKB852014 SJN917549:SKB917550 SJN983085:SKB983086 STJ45:STX46 STJ65581:STX65582 STJ131117:STX131118 STJ196653:STX196654 STJ262189:STX262190 STJ327725:STX327726 STJ393261:STX393262 STJ458797:STX458798 STJ524333:STX524334 STJ589869:STX589870 STJ655405:STX655406 STJ720941:STX720942 STJ786477:STX786478 STJ852013:STX852014 STJ917549:STX917550 STJ983085:STX983086 TDF45:TDT46 TDF65581:TDT65582 TDF131117:TDT131118 TDF196653:TDT196654 TDF262189:TDT262190 TDF327725:TDT327726 TDF393261:TDT393262 TDF458797:TDT458798 TDF524333:TDT524334 TDF589869:TDT589870 TDF655405:TDT655406 TDF720941:TDT720942 TDF786477:TDT786478 TDF852013:TDT852014 TDF917549:TDT917550 TDF983085:TDT983086 TNB45:TNP46 TNB65581:TNP65582 TNB131117:TNP131118 TNB196653:TNP196654 TNB262189:TNP262190 TNB327725:TNP327726 TNB393261:TNP393262 TNB458797:TNP458798 TNB524333:TNP524334 TNB589869:TNP589870 TNB655405:TNP655406 TNB720941:TNP720942 TNB786477:TNP786478 TNB852013:TNP852014 TNB917549:TNP917550 TNB983085:TNP983086 TWX45:TXL46 TWX65581:TXL65582 TWX131117:TXL131118 TWX196653:TXL196654 TWX262189:TXL262190 TWX327725:TXL327726 TWX393261:TXL393262 TWX458797:TXL458798 TWX524333:TXL524334 TWX589869:TXL589870 TWX655405:TXL655406 TWX720941:TXL720942 TWX786477:TXL786478 TWX852013:TXL852014 TWX917549:TXL917550 TWX983085:TXL983086 UGT45:UHH46 UGT65581:UHH65582 UGT131117:UHH131118 UGT196653:UHH196654 UGT262189:UHH262190 UGT327725:UHH327726 UGT393261:UHH393262 UGT458797:UHH458798 UGT524333:UHH524334 UGT589869:UHH589870 UGT655405:UHH655406 UGT720941:UHH720942 UGT786477:UHH786478 UGT852013:UHH852014 UGT917549:UHH917550 UGT983085:UHH983086 UQP45:URD46 UQP65581:URD65582 UQP131117:URD131118 UQP196653:URD196654 UQP262189:URD262190 UQP327725:URD327726 UQP393261:URD393262 UQP458797:URD458798 UQP524333:URD524334 UQP589869:URD589870 UQP655405:URD655406 UQP720941:URD720942 UQP786477:URD786478 UQP852013:URD852014 UQP917549:URD917550 UQP983085:URD983086 VAL45:VAZ46 VAL65581:VAZ65582 VAL131117:VAZ131118 VAL196653:VAZ196654 VAL262189:VAZ262190 VAL327725:VAZ327726 VAL393261:VAZ393262 VAL458797:VAZ458798 VAL524333:VAZ524334 VAL589869:VAZ589870 VAL655405:VAZ655406 VAL720941:VAZ720942 VAL786477:VAZ786478 VAL852013:VAZ852014 VAL917549:VAZ917550 VAL983085:VAZ983086 VKH45:VKV46 VKH65581:VKV65582 VKH131117:VKV131118 VKH196653:VKV196654 VKH262189:VKV262190 VKH327725:VKV327726 VKH393261:VKV393262 VKH458797:VKV458798 VKH524333:VKV524334 VKH589869:VKV589870 VKH655405:VKV655406 VKH720941:VKV720942 VKH786477:VKV786478 VKH852013:VKV852014 VKH917549:VKV917550 VKH983085:VKV983086 VUD45:VUR46 VUD65581:VUR65582 VUD131117:VUR131118 VUD196653:VUR196654 VUD262189:VUR262190 VUD327725:VUR327726 VUD393261:VUR393262 VUD458797:VUR458798 VUD524333:VUR524334 VUD589869:VUR589870 VUD655405:VUR655406 VUD720941:VUR720942 VUD786477:VUR786478 VUD852013:VUR852014 VUD917549:VUR917550 VUD983085:VUR983086 WDZ45:WEN46 WDZ65581:WEN65582 WDZ131117:WEN131118 WDZ196653:WEN196654 WDZ262189:WEN262190 WDZ327725:WEN327726 WDZ393261:WEN393262 WDZ458797:WEN458798 WDZ524333:WEN524334 WDZ589869:WEN589870 WDZ655405:WEN655406 WDZ720941:WEN720942 WDZ786477:WEN786478 WDZ852013:WEN852014 WDZ917549:WEN917550 WDZ983085:WEN983086 WNV45:WOJ46 WNV65581:WOJ65582 WNV131117:WOJ131118 WNV196653:WOJ196654 WNV262189:WOJ262190 WNV327725:WOJ327726 WNV393261:WOJ393262 WNV458797:WOJ458798 WNV524333:WOJ524334 WNV589869:WOJ589870 WNV655405:WOJ655406 WNV720941:WOJ720942 WNV786477:WOJ786478 WNV852013:WOJ852014 WNV917549:WOJ917550 WNV983085:WOJ983086 WXR45:WYF46 WXR65581:WYF65582 WXR131117:WYF131118 WXR196653:WYF196654 WXR262189:WYF262190 WXR327725:WYF327726 WXR393261:WYF393262 WXR458797:WYF458798 WXR524333:WYF524334 WXR589869:WYF589870 WXR655405:WYF655406 WXR720941:WYF720942 WXR786477:WYF786478 WXR852013:WYF852014 WXR917549:WYF917550 WXR983085:WYF983086" xr:uid="{00000000-0002-0000-0A00-000002000000}">
      <formula1>"　,1,2,3,4,5,6,7,8,9,10,11,12"</formula1>
    </dataValidation>
    <dataValidation type="list" allowBlank="1" showInputMessage="1" showErrorMessage="1" sqref="BJ41:BX42 BJ65577:BX65578 BJ131113:BX131114 BJ196649:BX196650 BJ262185:BX262186 BJ327721:BX327722 BJ393257:BX393258 BJ458793:BX458794 BJ524329:BX524330 BJ589865:BX589866 BJ655401:BX655402 BJ720937:BX720938 BJ786473:BX786474 BJ852009:BX852010 BJ917545:BX917546 BJ983081:BX983082 LF41:LT42 LF65577:LT65578 LF131113:LT131114 LF196649:LT196650 LF262185:LT262186 LF327721:LT327722 LF393257:LT393258 LF458793:LT458794 LF524329:LT524330 LF589865:LT589866 LF655401:LT655402 LF720937:LT720938 LF786473:LT786474 LF852009:LT852010 LF917545:LT917546 LF983081:LT983082 VB41:VP42 VB65577:VP65578 VB131113:VP131114 VB196649:VP196650 VB262185:VP262186 VB327721:VP327722 VB393257:VP393258 VB458793:VP458794 VB524329:VP524330 VB589865:VP589866 VB655401:VP655402 VB720937:VP720938 VB786473:VP786474 VB852009:VP852010 VB917545:VP917546 VB983081:VP983082 AEX41:AFL42 AEX65577:AFL65578 AEX131113:AFL131114 AEX196649:AFL196650 AEX262185:AFL262186 AEX327721:AFL327722 AEX393257:AFL393258 AEX458793:AFL458794 AEX524329:AFL524330 AEX589865:AFL589866 AEX655401:AFL655402 AEX720937:AFL720938 AEX786473:AFL786474 AEX852009:AFL852010 AEX917545:AFL917546 AEX983081:AFL983082 AOT41:APH42 AOT65577:APH65578 AOT131113:APH131114 AOT196649:APH196650 AOT262185:APH262186 AOT327721:APH327722 AOT393257:APH393258 AOT458793:APH458794 AOT524329:APH524330 AOT589865:APH589866 AOT655401:APH655402 AOT720937:APH720938 AOT786473:APH786474 AOT852009:APH852010 AOT917545:APH917546 AOT983081:APH983082 AYP41:AZD42 AYP65577:AZD65578 AYP131113:AZD131114 AYP196649:AZD196650 AYP262185:AZD262186 AYP327721:AZD327722 AYP393257:AZD393258 AYP458793:AZD458794 AYP524329:AZD524330 AYP589865:AZD589866 AYP655401:AZD655402 AYP720937:AZD720938 AYP786473:AZD786474 AYP852009:AZD852010 AYP917545:AZD917546 AYP983081:AZD983082 BIL41:BIZ42 BIL65577:BIZ65578 BIL131113:BIZ131114 BIL196649:BIZ196650 BIL262185:BIZ262186 BIL327721:BIZ327722 BIL393257:BIZ393258 BIL458793:BIZ458794 BIL524329:BIZ524330 BIL589865:BIZ589866 BIL655401:BIZ655402 BIL720937:BIZ720938 BIL786473:BIZ786474 BIL852009:BIZ852010 BIL917545:BIZ917546 BIL983081:BIZ983082 BSH41:BSV42 BSH65577:BSV65578 BSH131113:BSV131114 BSH196649:BSV196650 BSH262185:BSV262186 BSH327721:BSV327722 BSH393257:BSV393258 BSH458793:BSV458794 BSH524329:BSV524330 BSH589865:BSV589866 BSH655401:BSV655402 BSH720937:BSV720938 BSH786473:BSV786474 BSH852009:BSV852010 BSH917545:BSV917546 BSH983081:BSV983082 CCD41:CCR42 CCD65577:CCR65578 CCD131113:CCR131114 CCD196649:CCR196650 CCD262185:CCR262186 CCD327721:CCR327722 CCD393257:CCR393258 CCD458793:CCR458794 CCD524329:CCR524330 CCD589865:CCR589866 CCD655401:CCR655402 CCD720937:CCR720938 CCD786473:CCR786474 CCD852009:CCR852010 CCD917545:CCR917546 CCD983081:CCR983082 CLZ41:CMN42 CLZ65577:CMN65578 CLZ131113:CMN131114 CLZ196649:CMN196650 CLZ262185:CMN262186 CLZ327721:CMN327722 CLZ393257:CMN393258 CLZ458793:CMN458794 CLZ524329:CMN524330 CLZ589865:CMN589866 CLZ655401:CMN655402 CLZ720937:CMN720938 CLZ786473:CMN786474 CLZ852009:CMN852010 CLZ917545:CMN917546 CLZ983081:CMN983082 CVV41:CWJ42 CVV65577:CWJ65578 CVV131113:CWJ131114 CVV196649:CWJ196650 CVV262185:CWJ262186 CVV327721:CWJ327722 CVV393257:CWJ393258 CVV458793:CWJ458794 CVV524329:CWJ524330 CVV589865:CWJ589866 CVV655401:CWJ655402 CVV720937:CWJ720938 CVV786473:CWJ786474 CVV852009:CWJ852010 CVV917545:CWJ917546 CVV983081:CWJ983082 DFR41:DGF42 DFR65577:DGF65578 DFR131113:DGF131114 DFR196649:DGF196650 DFR262185:DGF262186 DFR327721:DGF327722 DFR393257:DGF393258 DFR458793:DGF458794 DFR524329:DGF524330 DFR589865:DGF589866 DFR655401:DGF655402 DFR720937:DGF720938 DFR786473:DGF786474 DFR852009:DGF852010 DFR917545:DGF917546 DFR983081:DGF983082 DPN41:DQB42 DPN65577:DQB65578 DPN131113:DQB131114 DPN196649:DQB196650 DPN262185:DQB262186 DPN327721:DQB327722 DPN393257:DQB393258 DPN458793:DQB458794 DPN524329:DQB524330 DPN589865:DQB589866 DPN655401:DQB655402 DPN720937:DQB720938 DPN786473:DQB786474 DPN852009:DQB852010 DPN917545:DQB917546 DPN983081:DQB983082 DZJ41:DZX42 DZJ65577:DZX65578 DZJ131113:DZX131114 DZJ196649:DZX196650 DZJ262185:DZX262186 DZJ327721:DZX327722 DZJ393257:DZX393258 DZJ458793:DZX458794 DZJ524329:DZX524330 DZJ589865:DZX589866 DZJ655401:DZX655402 DZJ720937:DZX720938 DZJ786473:DZX786474 DZJ852009:DZX852010 DZJ917545:DZX917546 DZJ983081:DZX983082 EJF41:EJT42 EJF65577:EJT65578 EJF131113:EJT131114 EJF196649:EJT196650 EJF262185:EJT262186 EJF327721:EJT327722 EJF393257:EJT393258 EJF458793:EJT458794 EJF524329:EJT524330 EJF589865:EJT589866 EJF655401:EJT655402 EJF720937:EJT720938 EJF786473:EJT786474 EJF852009:EJT852010 EJF917545:EJT917546 EJF983081:EJT983082 ETB41:ETP42 ETB65577:ETP65578 ETB131113:ETP131114 ETB196649:ETP196650 ETB262185:ETP262186 ETB327721:ETP327722 ETB393257:ETP393258 ETB458793:ETP458794 ETB524329:ETP524330 ETB589865:ETP589866 ETB655401:ETP655402 ETB720937:ETP720938 ETB786473:ETP786474 ETB852009:ETP852010 ETB917545:ETP917546 ETB983081:ETP983082 FCX41:FDL42 FCX65577:FDL65578 FCX131113:FDL131114 FCX196649:FDL196650 FCX262185:FDL262186 FCX327721:FDL327722 FCX393257:FDL393258 FCX458793:FDL458794 FCX524329:FDL524330 FCX589865:FDL589866 FCX655401:FDL655402 FCX720937:FDL720938 FCX786473:FDL786474 FCX852009:FDL852010 FCX917545:FDL917546 FCX983081:FDL983082 FMT41:FNH42 FMT65577:FNH65578 FMT131113:FNH131114 FMT196649:FNH196650 FMT262185:FNH262186 FMT327721:FNH327722 FMT393257:FNH393258 FMT458793:FNH458794 FMT524329:FNH524330 FMT589865:FNH589866 FMT655401:FNH655402 FMT720937:FNH720938 FMT786473:FNH786474 FMT852009:FNH852010 FMT917545:FNH917546 FMT983081:FNH983082 FWP41:FXD42 FWP65577:FXD65578 FWP131113:FXD131114 FWP196649:FXD196650 FWP262185:FXD262186 FWP327721:FXD327722 FWP393257:FXD393258 FWP458793:FXD458794 FWP524329:FXD524330 FWP589865:FXD589866 FWP655401:FXD655402 FWP720937:FXD720938 FWP786473:FXD786474 FWP852009:FXD852010 FWP917545:FXD917546 FWP983081:FXD983082 GGL41:GGZ42 GGL65577:GGZ65578 GGL131113:GGZ131114 GGL196649:GGZ196650 GGL262185:GGZ262186 GGL327721:GGZ327722 GGL393257:GGZ393258 GGL458793:GGZ458794 GGL524329:GGZ524330 GGL589865:GGZ589866 GGL655401:GGZ655402 GGL720937:GGZ720938 GGL786473:GGZ786474 GGL852009:GGZ852010 GGL917545:GGZ917546 GGL983081:GGZ983082 GQH41:GQV42 GQH65577:GQV65578 GQH131113:GQV131114 GQH196649:GQV196650 GQH262185:GQV262186 GQH327721:GQV327722 GQH393257:GQV393258 GQH458793:GQV458794 GQH524329:GQV524330 GQH589865:GQV589866 GQH655401:GQV655402 GQH720937:GQV720938 GQH786473:GQV786474 GQH852009:GQV852010 GQH917545:GQV917546 GQH983081:GQV983082 HAD41:HAR42 HAD65577:HAR65578 HAD131113:HAR131114 HAD196649:HAR196650 HAD262185:HAR262186 HAD327721:HAR327722 HAD393257:HAR393258 HAD458793:HAR458794 HAD524329:HAR524330 HAD589865:HAR589866 HAD655401:HAR655402 HAD720937:HAR720938 HAD786473:HAR786474 HAD852009:HAR852010 HAD917545:HAR917546 HAD983081:HAR983082 HJZ41:HKN42 HJZ65577:HKN65578 HJZ131113:HKN131114 HJZ196649:HKN196650 HJZ262185:HKN262186 HJZ327721:HKN327722 HJZ393257:HKN393258 HJZ458793:HKN458794 HJZ524329:HKN524330 HJZ589865:HKN589866 HJZ655401:HKN655402 HJZ720937:HKN720938 HJZ786473:HKN786474 HJZ852009:HKN852010 HJZ917545:HKN917546 HJZ983081:HKN983082 HTV41:HUJ42 HTV65577:HUJ65578 HTV131113:HUJ131114 HTV196649:HUJ196650 HTV262185:HUJ262186 HTV327721:HUJ327722 HTV393257:HUJ393258 HTV458793:HUJ458794 HTV524329:HUJ524330 HTV589865:HUJ589866 HTV655401:HUJ655402 HTV720937:HUJ720938 HTV786473:HUJ786474 HTV852009:HUJ852010 HTV917545:HUJ917546 HTV983081:HUJ983082 IDR41:IEF42 IDR65577:IEF65578 IDR131113:IEF131114 IDR196649:IEF196650 IDR262185:IEF262186 IDR327721:IEF327722 IDR393257:IEF393258 IDR458793:IEF458794 IDR524329:IEF524330 IDR589865:IEF589866 IDR655401:IEF655402 IDR720937:IEF720938 IDR786473:IEF786474 IDR852009:IEF852010 IDR917545:IEF917546 IDR983081:IEF983082 INN41:IOB42 INN65577:IOB65578 INN131113:IOB131114 INN196649:IOB196650 INN262185:IOB262186 INN327721:IOB327722 INN393257:IOB393258 INN458793:IOB458794 INN524329:IOB524330 INN589865:IOB589866 INN655401:IOB655402 INN720937:IOB720938 INN786473:IOB786474 INN852009:IOB852010 INN917545:IOB917546 INN983081:IOB983082 IXJ41:IXX42 IXJ65577:IXX65578 IXJ131113:IXX131114 IXJ196649:IXX196650 IXJ262185:IXX262186 IXJ327721:IXX327722 IXJ393257:IXX393258 IXJ458793:IXX458794 IXJ524329:IXX524330 IXJ589865:IXX589866 IXJ655401:IXX655402 IXJ720937:IXX720938 IXJ786473:IXX786474 IXJ852009:IXX852010 IXJ917545:IXX917546 IXJ983081:IXX983082 JHF41:JHT42 JHF65577:JHT65578 JHF131113:JHT131114 JHF196649:JHT196650 JHF262185:JHT262186 JHF327721:JHT327722 JHF393257:JHT393258 JHF458793:JHT458794 JHF524329:JHT524330 JHF589865:JHT589866 JHF655401:JHT655402 JHF720937:JHT720938 JHF786473:JHT786474 JHF852009:JHT852010 JHF917545:JHT917546 JHF983081:JHT983082 JRB41:JRP42 JRB65577:JRP65578 JRB131113:JRP131114 JRB196649:JRP196650 JRB262185:JRP262186 JRB327721:JRP327722 JRB393257:JRP393258 JRB458793:JRP458794 JRB524329:JRP524330 JRB589865:JRP589866 JRB655401:JRP655402 JRB720937:JRP720938 JRB786473:JRP786474 JRB852009:JRP852010 JRB917545:JRP917546 JRB983081:JRP983082 KAX41:KBL42 KAX65577:KBL65578 KAX131113:KBL131114 KAX196649:KBL196650 KAX262185:KBL262186 KAX327721:KBL327722 KAX393257:KBL393258 KAX458793:KBL458794 KAX524329:KBL524330 KAX589865:KBL589866 KAX655401:KBL655402 KAX720937:KBL720938 KAX786473:KBL786474 KAX852009:KBL852010 KAX917545:KBL917546 KAX983081:KBL983082 KKT41:KLH42 KKT65577:KLH65578 KKT131113:KLH131114 KKT196649:KLH196650 KKT262185:KLH262186 KKT327721:KLH327722 KKT393257:KLH393258 KKT458793:KLH458794 KKT524329:KLH524330 KKT589865:KLH589866 KKT655401:KLH655402 KKT720937:KLH720938 KKT786473:KLH786474 KKT852009:KLH852010 KKT917545:KLH917546 KKT983081:KLH983082 KUP41:KVD42 KUP65577:KVD65578 KUP131113:KVD131114 KUP196649:KVD196650 KUP262185:KVD262186 KUP327721:KVD327722 KUP393257:KVD393258 KUP458793:KVD458794 KUP524329:KVD524330 KUP589865:KVD589866 KUP655401:KVD655402 KUP720937:KVD720938 KUP786473:KVD786474 KUP852009:KVD852010 KUP917545:KVD917546 KUP983081:KVD983082 LEL41:LEZ42 LEL65577:LEZ65578 LEL131113:LEZ131114 LEL196649:LEZ196650 LEL262185:LEZ262186 LEL327721:LEZ327722 LEL393257:LEZ393258 LEL458793:LEZ458794 LEL524329:LEZ524330 LEL589865:LEZ589866 LEL655401:LEZ655402 LEL720937:LEZ720938 LEL786473:LEZ786474 LEL852009:LEZ852010 LEL917545:LEZ917546 LEL983081:LEZ983082 LOH41:LOV42 LOH65577:LOV65578 LOH131113:LOV131114 LOH196649:LOV196650 LOH262185:LOV262186 LOH327721:LOV327722 LOH393257:LOV393258 LOH458793:LOV458794 LOH524329:LOV524330 LOH589865:LOV589866 LOH655401:LOV655402 LOH720937:LOV720938 LOH786473:LOV786474 LOH852009:LOV852010 LOH917545:LOV917546 LOH983081:LOV983082 LYD41:LYR42 LYD65577:LYR65578 LYD131113:LYR131114 LYD196649:LYR196650 LYD262185:LYR262186 LYD327721:LYR327722 LYD393257:LYR393258 LYD458793:LYR458794 LYD524329:LYR524330 LYD589865:LYR589866 LYD655401:LYR655402 LYD720937:LYR720938 LYD786473:LYR786474 LYD852009:LYR852010 LYD917545:LYR917546 LYD983081:LYR983082 MHZ41:MIN42 MHZ65577:MIN65578 MHZ131113:MIN131114 MHZ196649:MIN196650 MHZ262185:MIN262186 MHZ327721:MIN327722 MHZ393257:MIN393258 MHZ458793:MIN458794 MHZ524329:MIN524330 MHZ589865:MIN589866 MHZ655401:MIN655402 MHZ720937:MIN720938 MHZ786473:MIN786474 MHZ852009:MIN852010 MHZ917545:MIN917546 MHZ983081:MIN983082 MRV41:MSJ42 MRV65577:MSJ65578 MRV131113:MSJ131114 MRV196649:MSJ196650 MRV262185:MSJ262186 MRV327721:MSJ327722 MRV393257:MSJ393258 MRV458793:MSJ458794 MRV524329:MSJ524330 MRV589865:MSJ589866 MRV655401:MSJ655402 MRV720937:MSJ720938 MRV786473:MSJ786474 MRV852009:MSJ852010 MRV917545:MSJ917546 MRV983081:MSJ983082 NBR41:NCF42 NBR65577:NCF65578 NBR131113:NCF131114 NBR196649:NCF196650 NBR262185:NCF262186 NBR327721:NCF327722 NBR393257:NCF393258 NBR458793:NCF458794 NBR524329:NCF524330 NBR589865:NCF589866 NBR655401:NCF655402 NBR720937:NCF720938 NBR786473:NCF786474 NBR852009:NCF852010 NBR917545:NCF917546 NBR983081:NCF983082 NLN41:NMB42 NLN65577:NMB65578 NLN131113:NMB131114 NLN196649:NMB196650 NLN262185:NMB262186 NLN327721:NMB327722 NLN393257:NMB393258 NLN458793:NMB458794 NLN524329:NMB524330 NLN589865:NMB589866 NLN655401:NMB655402 NLN720937:NMB720938 NLN786473:NMB786474 NLN852009:NMB852010 NLN917545:NMB917546 NLN983081:NMB983082 NVJ41:NVX42 NVJ65577:NVX65578 NVJ131113:NVX131114 NVJ196649:NVX196650 NVJ262185:NVX262186 NVJ327721:NVX327722 NVJ393257:NVX393258 NVJ458793:NVX458794 NVJ524329:NVX524330 NVJ589865:NVX589866 NVJ655401:NVX655402 NVJ720937:NVX720938 NVJ786473:NVX786474 NVJ852009:NVX852010 NVJ917545:NVX917546 NVJ983081:NVX983082 OFF41:OFT42 OFF65577:OFT65578 OFF131113:OFT131114 OFF196649:OFT196650 OFF262185:OFT262186 OFF327721:OFT327722 OFF393257:OFT393258 OFF458793:OFT458794 OFF524329:OFT524330 OFF589865:OFT589866 OFF655401:OFT655402 OFF720937:OFT720938 OFF786473:OFT786474 OFF852009:OFT852010 OFF917545:OFT917546 OFF983081:OFT983082 OPB41:OPP42 OPB65577:OPP65578 OPB131113:OPP131114 OPB196649:OPP196650 OPB262185:OPP262186 OPB327721:OPP327722 OPB393257:OPP393258 OPB458793:OPP458794 OPB524329:OPP524330 OPB589865:OPP589866 OPB655401:OPP655402 OPB720937:OPP720938 OPB786473:OPP786474 OPB852009:OPP852010 OPB917545:OPP917546 OPB983081:OPP983082 OYX41:OZL42 OYX65577:OZL65578 OYX131113:OZL131114 OYX196649:OZL196650 OYX262185:OZL262186 OYX327721:OZL327722 OYX393257:OZL393258 OYX458793:OZL458794 OYX524329:OZL524330 OYX589865:OZL589866 OYX655401:OZL655402 OYX720937:OZL720938 OYX786473:OZL786474 OYX852009:OZL852010 OYX917545:OZL917546 OYX983081:OZL983082 PIT41:PJH42 PIT65577:PJH65578 PIT131113:PJH131114 PIT196649:PJH196650 PIT262185:PJH262186 PIT327721:PJH327722 PIT393257:PJH393258 PIT458793:PJH458794 PIT524329:PJH524330 PIT589865:PJH589866 PIT655401:PJH655402 PIT720937:PJH720938 PIT786473:PJH786474 PIT852009:PJH852010 PIT917545:PJH917546 PIT983081:PJH983082 PSP41:PTD42 PSP65577:PTD65578 PSP131113:PTD131114 PSP196649:PTD196650 PSP262185:PTD262186 PSP327721:PTD327722 PSP393257:PTD393258 PSP458793:PTD458794 PSP524329:PTD524330 PSP589865:PTD589866 PSP655401:PTD655402 PSP720937:PTD720938 PSP786473:PTD786474 PSP852009:PTD852010 PSP917545:PTD917546 PSP983081:PTD983082 QCL41:QCZ42 QCL65577:QCZ65578 QCL131113:QCZ131114 QCL196649:QCZ196650 QCL262185:QCZ262186 QCL327721:QCZ327722 QCL393257:QCZ393258 QCL458793:QCZ458794 QCL524329:QCZ524330 QCL589865:QCZ589866 QCL655401:QCZ655402 QCL720937:QCZ720938 QCL786473:QCZ786474 QCL852009:QCZ852010 QCL917545:QCZ917546 QCL983081:QCZ983082 QMH41:QMV42 QMH65577:QMV65578 QMH131113:QMV131114 QMH196649:QMV196650 QMH262185:QMV262186 QMH327721:QMV327722 QMH393257:QMV393258 QMH458793:QMV458794 QMH524329:QMV524330 QMH589865:QMV589866 QMH655401:QMV655402 QMH720937:QMV720938 QMH786473:QMV786474 QMH852009:QMV852010 QMH917545:QMV917546 QMH983081:QMV983082 QWD41:QWR42 QWD65577:QWR65578 QWD131113:QWR131114 QWD196649:QWR196650 QWD262185:QWR262186 QWD327721:QWR327722 QWD393257:QWR393258 QWD458793:QWR458794 QWD524329:QWR524330 QWD589865:QWR589866 QWD655401:QWR655402 QWD720937:QWR720938 QWD786473:QWR786474 QWD852009:QWR852010 QWD917545:QWR917546 QWD983081:QWR983082 RFZ41:RGN42 RFZ65577:RGN65578 RFZ131113:RGN131114 RFZ196649:RGN196650 RFZ262185:RGN262186 RFZ327721:RGN327722 RFZ393257:RGN393258 RFZ458793:RGN458794 RFZ524329:RGN524330 RFZ589865:RGN589866 RFZ655401:RGN655402 RFZ720937:RGN720938 RFZ786473:RGN786474 RFZ852009:RGN852010 RFZ917545:RGN917546 RFZ983081:RGN983082 RPV41:RQJ42 RPV65577:RQJ65578 RPV131113:RQJ131114 RPV196649:RQJ196650 RPV262185:RQJ262186 RPV327721:RQJ327722 RPV393257:RQJ393258 RPV458793:RQJ458794 RPV524329:RQJ524330 RPV589865:RQJ589866 RPV655401:RQJ655402 RPV720937:RQJ720938 RPV786473:RQJ786474 RPV852009:RQJ852010 RPV917545:RQJ917546 RPV983081:RQJ983082 RZR41:SAF42 RZR65577:SAF65578 RZR131113:SAF131114 RZR196649:SAF196650 RZR262185:SAF262186 RZR327721:SAF327722 RZR393257:SAF393258 RZR458793:SAF458794 RZR524329:SAF524330 RZR589865:SAF589866 RZR655401:SAF655402 RZR720937:SAF720938 RZR786473:SAF786474 RZR852009:SAF852010 RZR917545:SAF917546 RZR983081:SAF983082 SJN41:SKB42 SJN65577:SKB65578 SJN131113:SKB131114 SJN196649:SKB196650 SJN262185:SKB262186 SJN327721:SKB327722 SJN393257:SKB393258 SJN458793:SKB458794 SJN524329:SKB524330 SJN589865:SKB589866 SJN655401:SKB655402 SJN720937:SKB720938 SJN786473:SKB786474 SJN852009:SKB852010 SJN917545:SKB917546 SJN983081:SKB983082 STJ41:STX42 STJ65577:STX65578 STJ131113:STX131114 STJ196649:STX196650 STJ262185:STX262186 STJ327721:STX327722 STJ393257:STX393258 STJ458793:STX458794 STJ524329:STX524330 STJ589865:STX589866 STJ655401:STX655402 STJ720937:STX720938 STJ786473:STX786474 STJ852009:STX852010 STJ917545:STX917546 STJ983081:STX983082 TDF41:TDT42 TDF65577:TDT65578 TDF131113:TDT131114 TDF196649:TDT196650 TDF262185:TDT262186 TDF327721:TDT327722 TDF393257:TDT393258 TDF458793:TDT458794 TDF524329:TDT524330 TDF589865:TDT589866 TDF655401:TDT655402 TDF720937:TDT720938 TDF786473:TDT786474 TDF852009:TDT852010 TDF917545:TDT917546 TDF983081:TDT983082 TNB41:TNP42 TNB65577:TNP65578 TNB131113:TNP131114 TNB196649:TNP196650 TNB262185:TNP262186 TNB327721:TNP327722 TNB393257:TNP393258 TNB458793:TNP458794 TNB524329:TNP524330 TNB589865:TNP589866 TNB655401:TNP655402 TNB720937:TNP720938 TNB786473:TNP786474 TNB852009:TNP852010 TNB917545:TNP917546 TNB983081:TNP983082 TWX41:TXL42 TWX65577:TXL65578 TWX131113:TXL131114 TWX196649:TXL196650 TWX262185:TXL262186 TWX327721:TXL327722 TWX393257:TXL393258 TWX458793:TXL458794 TWX524329:TXL524330 TWX589865:TXL589866 TWX655401:TXL655402 TWX720937:TXL720938 TWX786473:TXL786474 TWX852009:TXL852010 TWX917545:TXL917546 TWX983081:TXL983082 UGT41:UHH42 UGT65577:UHH65578 UGT131113:UHH131114 UGT196649:UHH196650 UGT262185:UHH262186 UGT327721:UHH327722 UGT393257:UHH393258 UGT458793:UHH458794 UGT524329:UHH524330 UGT589865:UHH589866 UGT655401:UHH655402 UGT720937:UHH720938 UGT786473:UHH786474 UGT852009:UHH852010 UGT917545:UHH917546 UGT983081:UHH983082 UQP41:URD42 UQP65577:URD65578 UQP131113:URD131114 UQP196649:URD196650 UQP262185:URD262186 UQP327721:URD327722 UQP393257:URD393258 UQP458793:URD458794 UQP524329:URD524330 UQP589865:URD589866 UQP655401:URD655402 UQP720937:URD720938 UQP786473:URD786474 UQP852009:URD852010 UQP917545:URD917546 UQP983081:URD983082 VAL41:VAZ42 VAL65577:VAZ65578 VAL131113:VAZ131114 VAL196649:VAZ196650 VAL262185:VAZ262186 VAL327721:VAZ327722 VAL393257:VAZ393258 VAL458793:VAZ458794 VAL524329:VAZ524330 VAL589865:VAZ589866 VAL655401:VAZ655402 VAL720937:VAZ720938 VAL786473:VAZ786474 VAL852009:VAZ852010 VAL917545:VAZ917546 VAL983081:VAZ983082 VKH41:VKV42 VKH65577:VKV65578 VKH131113:VKV131114 VKH196649:VKV196650 VKH262185:VKV262186 VKH327721:VKV327722 VKH393257:VKV393258 VKH458793:VKV458794 VKH524329:VKV524330 VKH589865:VKV589866 VKH655401:VKV655402 VKH720937:VKV720938 VKH786473:VKV786474 VKH852009:VKV852010 VKH917545:VKV917546 VKH983081:VKV983082 VUD41:VUR42 VUD65577:VUR65578 VUD131113:VUR131114 VUD196649:VUR196650 VUD262185:VUR262186 VUD327721:VUR327722 VUD393257:VUR393258 VUD458793:VUR458794 VUD524329:VUR524330 VUD589865:VUR589866 VUD655401:VUR655402 VUD720937:VUR720938 VUD786473:VUR786474 VUD852009:VUR852010 VUD917545:VUR917546 VUD983081:VUR983082 WDZ41:WEN42 WDZ65577:WEN65578 WDZ131113:WEN131114 WDZ196649:WEN196650 WDZ262185:WEN262186 WDZ327721:WEN327722 WDZ393257:WEN393258 WDZ458793:WEN458794 WDZ524329:WEN524330 WDZ589865:WEN589866 WDZ655401:WEN655402 WDZ720937:WEN720938 WDZ786473:WEN786474 WDZ852009:WEN852010 WDZ917545:WEN917546 WDZ983081:WEN983082 WNV41:WOJ42 WNV65577:WOJ65578 WNV131113:WOJ131114 WNV196649:WOJ196650 WNV262185:WOJ262186 WNV327721:WOJ327722 WNV393257:WOJ393258 WNV458793:WOJ458794 WNV524329:WOJ524330 WNV589865:WOJ589866 WNV655401:WOJ655402 WNV720937:WOJ720938 WNV786473:WOJ786474 WNV852009:WOJ852010 WNV917545:WOJ917546 WNV983081:WOJ983082 WXR41:WYF42 WXR65577:WYF65578 WXR131113:WYF131114 WXR196649:WYF196650 WXR262185:WYF262186 WXR327721:WYF327722 WXR393257:WYF393258 WXR458793:WYF458794 WXR524329:WYF524330 WXR589865:WYF589866 WXR655401:WYF655402 WXR720937:WYF720938 WXR786473:WYF786474 WXR852009:WYF852010 WXR917545:WYF917546 WXR983081:WYF983082" xr:uid="{00000000-0002-0000-0A00-000003000000}">
      <formula1>"　,災害復興"</formula1>
    </dataValidation>
    <dataValidation type="list" allowBlank="1" showInputMessage="1" showErrorMessage="1" sqref="BJ37:BX38 BJ65573:BX65574 BJ131109:BX131110 BJ196645:BX196646 BJ262181:BX262182 BJ327717:BX327718 BJ393253:BX393254 BJ458789:BX458790 BJ524325:BX524326 BJ589861:BX589862 BJ655397:BX655398 BJ720933:BX720934 BJ786469:BX786470 BJ852005:BX852006 BJ917541:BX917542 BJ983077:BX983078 LF37:LT38 LF65573:LT65574 LF131109:LT131110 LF196645:LT196646 LF262181:LT262182 LF327717:LT327718 LF393253:LT393254 LF458789:LT458790 LF524325:LT524326 LF589861:LT589862 LF655397:LT655398 LF720933:LT720934 LF786469:LT786470 LF852005:LT852006 LF917541:LT917542 LF983077:LT983078 VB37:VP38 VB65573:VP65574 VB131109:VP131110 VB196645:VP196646 VB262181:VP262182 VB327717:VP327718 VB393253:VP393254 VB458789:VP458790 VB524325:VP524326 VB589861:VP589862 VB655397:VP655398 VB720933:VP720934 VB786469:VP786470 VB852005:VP852006 VB917541:VP917542 VB983077:VP983078 AEX37:AFL38 AEX65573:AFL65574 AEX131109:AFL131110 AEX196645:AFL196646 AEX262181:AFL262182 AEX327717:AFL327718 AEX393253:AFL393254 AEX458789:AFL458790 AEX524325:AFL524326 AEX589861:AFL589862 AEX655397:AFL655398 AEX720933:AFL720934 AEX786469:AFL786470 AEX852005:AFL852006 AEX917541:AFL917542 AEX983077:AFL983078 AOT37:APH38 AOT65573:APH65574 AOT131109:APH131110 AOT196645:APH196646 AOT262181:APH262182 AOT327717:APH327718 AOT393253:APH393254 AOT458789:APH458790 AOT524325:APH524326 AOT589861:APH589862 AOT655397:APH655398 AOT720933:APH720934 AOT786469:APH786470 AOT852005:APH852006 AOT917541:APH917542 AOT983077:APH983078 AYP37:AZD38 AYP65573:AZD65574 AYP131109:AZD131110 AYP196645:AZD196646 AYP262181:AZD262182 AYP327717:AZD327718 AYP393253:AZD393254 AYP458789:AZD458790 AYP524325:AZD524326 AYP589861:AZD589862 AYP655397:AZD655398 AYP720933:AZD720934 AYP786469:AZD786470 AYP852005:AZD852006 AYP917541:AZD917542 AYP983077:AZD983078 BIL37:BIZ38 BIL65573:BIZ65574 BIL131109:BIZ131110 BIL196645:BIZ196646 BIL262181:BIZ262182 BIL327717:BIZ327718 BIL393253:BIZ393254 BIL458789:BIZ458790 BIL524325:BIZ524326 BIL589861:BIZ589862 BIL655397:BIZ655398 BIL720933:BIZ720934 BIL786469:BIZ786470 BIL852005:BIZ852006 BIL917541:BIZ917542 BIL983077:BIZ983078 BSH37:BSV38 BSH65573:BSV65574 BSH131109:BSV131110 BSH196645:BSV196646 BSH262181:BSV262182 BSH327717:BSV327718 BSH393253:BSV393254 BSH458789:BSV458790 BSH524325:BSV524326 BSH589861:BSV589862 BSH655397:BSV655398 BSH720933:BSV720934 BSH786469:BSV786470 BSH852005:BSV852006 BSH917541:BSV917542 BSH983077:BSV983078 CCD37:CCR38 CCD65573:CCR65574 CCD131109:CCR131110 CCD196645:CCR196646 CCD262181:CCR262182 CCD327717:CCR327718 CCD393253:CCR393254 CCD458789:CCR458790 CCD524325:CCR524326 CCD589861:CCR589862 CCD655397:CCR655398 CCD720933:CCR720934 CCD786469:CCR786470 CCD852005:CCR852006 CCD917541:CCR917542 CCD983077:CCR983078 CLZ37:CMN38 CLZ65573:CMN65574 CLZ131109:CMN131110 CLZ196645:CMN196646 CLZ262181:CMN262182 CLZ327717:CMN327718 CLZ393253:CMN393254 CLZ458789:CMN458790 CLZ524325:CMN524326 CLZ589861:CMN589862 CLZ655397:CMN655398 CLZ720933:CMN720934 CLZ786469:CMN786470 CLZ852005:CMN852006 CLZ917541:CMN917542 CLZ983077:CMN983078 CVV37:CWJ38 CVV65573:CWJ65574 CVV131109:CWJ131110 CVV196645:CWJ196646 CVV262181:CWJ262182 CVV327717:CWJ327718 CVV393253:CWJ393254 CVV458789:CWJ458790 CVV524325:CWJ524326 CVV589861:CWJ589862 CVV655397:CWJ655398 CVV720933:CWJ720934 CVV786469:CWJ786470 CVV852005:CWJ852006 CVV917541:CWJ917542 CVV983077:CWJ983078 DFR37:DGF38 DFR65573:DGF65574 DFR131109:DGF131110 DFR196645:DGF196646 DFR262181:DGF262182 DFR327717:DGF327718 DFR393253:DGF393254 DFR458789:DGF458790 DFR524325:DGF524326 DFR589861:DGF589862 DFR655397:DGF655398 DFR720933:DGF720934 DFR786469:DGF786470 DFR852005:DGF852006 DFR917541:DGF917542 DFR983077:DGF983078 DPN37:DQB38 DPN65573:DQB65574 DPN131109:DQB131110 DPN196645:DQB196646 DPN262181:DQB262182 DPN327717:DQB327718 DPN393253:DQB393254 DPN458789:DQB458790 DPN524325:DQB524326 DPN589861:DQB589862 DPN655397:DQB655398 DPN720933:DQB720934 DPN786469:DQB786470 DPN852005:DQB852006 DPN917541:DQB917542 DPN983077:DQB983078 DZJ37:DZX38 DZJ65573:DZX65574 DZJ131109:DZX131110 DZJ196645:DZX196646 DZJ262181:DZX262182 DZJ327717:DZX327718 DZJ393253:DZX393254 DZJ458789:DZX458790 DZJ524325:DZX524326 DZJ589861:DZX589862 DZJ655397:DZX655398 DZJ720933:DZX720934 DZJ786469:DZX786470 DZJ852005:DZX852006 DZJ917541:DZX917542 DZJ983077:DZX983078 EJF37:EJT38 EJF65573:EJT65574 EJF131109:EJT131110 EJF196645:EJT196646 EJF262181:EJT262182 EJF327717:EJT327718 EJF393253:EJT393254 EJF458789:EJT458790 EJF524325:EJT524326 EJF589861:EJT589862 EJF655397:EJT655398 EJF720933:EJT720934 EJF786469:EJT786470 EJF852005:EJT852006 EJF917541:EJT917542 EJF983077:EJT983078 ETB37:ETP38 ETB65573:ETP65574 ETB131109:ETP131110 ETB196645:ETP196646 ETB262181:ETP262182 ETB327717:ETP327718 ETB393253:ETP393254 ETB458789:ETP458790 ETB524325:ETP524326 ETB589861:ETP589862 ETB655397:ETP655398 ETB720933:ETP720934 ETB786469:ETP786470 ETB852005:ETP852006 ETB917541:ETP917542 ETB983077:ETP983078 FCX37:FDL38 FCX65573:FDL65574 FCX131109:FDL131110 FCX196645:FDL196646 FCX262181:FDL262182 FCX327717:FDL327718 FCX393253:FDL393254 FCX458789:FDL458790 FCX524325:FDL524326 FCX589861:FDL589862 FCX655397:FDL655398 FCX720933:FDL720934 FCX786469:FDL786470 FCX852005:FDL852006 FCX917541:FDL917542 FCX983077:FDL983078 FMT37:FNH38 FMT65573:FNH65574 FMT131109:FNH131110 FMT196645:FNH196646 FMT262181:FNH262182 FMT327717:FNH327718 FMT393253:FNH393254 FMT458789:FNH458790 FMT524325:FNH524326 FMT589861:FNH589862 FMT655397:FNH655398 FMT720933:FNH720934 FMT786469:FNH786470 FMT852005:FNH852006 FMT917541:FNH917542 FMT983077:FNH983078 FWP37:FXD38 FWP65573:FXD65574 FWP131109:FXD131110 FWP196645:FXD196646 FWP262181:FXD262182 FWP327717:FXD327718 FWP393253:FXD393254 FWP458789:FXD458790 FWP524325:FXD524326 FWP589861:FXD589862 FWP655397:FXD655398 FWP720933:FXD720934 FWP786469:FXD786470 FWP852005:FXD852006 FWP917541:FXD917542 FWP983077:FXD983078 GGL37:GGZ38 GGL65573:GGZ65574 GGL131109:GGZ131110 GGL196645:GGZ196646 GGL262181:GGZ262182 GGL327717:GGZ327718 GGL393253:GGZ393254 GGL458789:GGZ458790 GGL524325:GGZ524326 GGL589861:GGZ589862 GGL655397:GGZ655398 GGL720933:GGZ720934 GGL786469:GGZ786470 GGL852005:GGZ852006 GGL917541:GGZ917542 GGL983077:GGZ983078 GQH37:GQV38 GQH65573:GQV65574 GQH131109:GQV131110 GQH196645:GQV196646 GQH262181:GQV262182 GQH327717:GQV327718 GQH393253:GQV393254 GQH458789:GQV458790 GQH524325:GQV524326 GQH589861:GQV589862 GQH655397:GQV655398 GQH720933:GQV720934 GQH786469:GQV786470 GQH852005:GQV852006 GQH917541:GQV917542 GQH983077:GQV983078 HAD37:HAR38 HAD65573:HAR65574 HAD131109:HAR131110 HAD196645:HAR196646 HAD262181:HAR262182 HAD327717:HAR327718 HAD393253:HAR393254 HAD458789:HAR458790 HAD524325:HAR524326 HAD589861:HAR589862 HAD655397:HAR655398 HAD720933:HAR720934 HAD786469:HAR786470 HAD852005:HAR852006 HAD917541:HAR917542 HAD983077:HAR983078 HJZ37:HKN38 HJZ65573:HKN65574 HJZ131109:HKN131110 HJZ196645:HKN196646 HJZ262181:HKN262182 HJZ327717:HKN327718 HJZ393253:HKN393254 HJZ458789:HKN458790 HJZ524325:HKN524326 HJZ589861:HKN589862 HJZ655397:HKN655398 HJZ720933:HKN720934 HJZ786469:HKN786470 HJZ852005:HKN852006 HJZ917541:HKN917542 HJZ983077:HKN983078 HTV37:HUJ38 HTV65573:HUJ65574 HTV131109:HUJ131110 HTV196645:HUJ196646 HTV262181:HUJ262182 HTV327717:HUJ327718 HTV393253:HUJ393254 HTV458789:HUJ458790 HTV524325:HUJ524326 HTV589861:HUJ589862 HTV655397:HUJ655398 HTV720933:HUJ720934 HTV786469:HUJ786470 HTV852005:HUJ852006 HTV917541:HUJ917542 HTV983077:HUJ983078 IDR37:IEF38 IDR65573:IEF65574 IDR131109:IEF131110 IDR196645:IEF196646 IDR262181:IEF262182 IDR327717:IEF327718 IDR393253:IEF393254 IDR458789:IEF458790 IDR524325:IEF524326 IDR589861:IEF589862 IDR655397:IEF655398 IDR720933:IEF720934 IDR786469:IEF786470 IDR852005:IEF852006 IDR917541:IEF917542 IDR983077:IEF983078 INN37:IOB38 INN65573:IOB65574 INN131109:IOB131110 INN196645:IOB196646 INN262181:IOB262182 INN327717:IOB327718 INN393253:IOB393254 INN458789:IOB458790 INN524325:IOB524326 INN589861:IOB589862 INN655397:IOB655398 INN720933:IOB720934 INN786469:IOB786470 INN852005:IOB852006 INN917541:IOB917542 INN983077:IOB983078 IXJ37:IXX38 IXJ65573:IXX65574 IXJ131109:IXX131110 IXJ196645:IXX196646 IXJ262181:IXX262182 IXJ327717:IXX327718 IXJ393253:IXX393254 IXJ458789:IXX458790 IXJ524325:IXX524326 IXJ589861:IXX589862 IXJ655397:IXX655398 IXJ720933:IXX720934 IXJ786469:IXX786470 IXJ852005:IXX852006 IXJ917541:IXX917542 IXJ983077:IXX983078 JHF37:JHT38 JHF65573:JHT65574 JHF131109:JHT131110 JHF196645:JHT196646 JHF262181:JHT262182 JHF327717:JHT327718 JHF393253:JHT393254 JHF458789:JHT458790 JHF524325:JHT524326 JHF589861:JHT589862 JHF655397:JHT655398 JHF720933:JHT720934 JHF786469:JHT786470 JHF852005:JHT852006 JHF917541:JHT917542 JHF983077:JHT983078 JRB37:JRP38 JRB65573:JRP65574 JRB131109:JRP131110 JRB196645:JRP196646 JRB262181:JRP262182 JRB327717:JRP327718 JRB393253:JRP393254 JRB458789:JRP458790 JRB524325:JRP524326 JRB589861:JRP589862 JRB655397:JRP655398 JRB720933:JRP720934 JRB786469:JRP786470 JRB852005:JRP852006 JRB917541:JRP917542 JRB983077:JRP983078 KAX37:KBL38 KAX65573:KBL65574 KAX131109:KBL131110 KAX196645:KBL196646 KAX262181:KBL262182 KAX327717:KBL327718 KAX393253:KBL393254 KAX458789:KBL458790 KAX524325:KBL524326 KAX589861:KBL589862 KAX655397:KBL655398 KAX720933:KBL720934 KAX786469:KBL786470 KAX852005:KBL852006 KAX917541:KBL917542 KAX983077:KBL983078 KKT37:KLH38 KKT65573:KLH65574 KKT131109:KLH131110 KKT196645:KLH196646 KKT262181:KLH262182 KKT327717:KLH327718 KKT393253:KLH393254 KKT458789:KLH458790 KKT524325:KLH524326 KKT589861:KLH589862 KKT655397:KLH655398 KKT720933:KLH720934 KKT786469:KLH786470 KKT852005:KLH852006 KKT917541:KLH917542 KKT983077:KLH983078 KUP37:KVD38 KUP65573:KVD65574 KUP131109:KVD131110 KUP196645:KVD196646 KUP262181:KVD262182 KUP327717:KVD327718 KUP393253:KVD393254 KUP458789:KVD458790 KUP524325:KVD524326 KUP589861:KVD589862 KUP655397:KVD655398 KUP720933:KVD720934 KUP786469:KVD786470 KUP852005:KVD852006 KUP917541:KVD917542 KUP983077:KVD983078 LEL37:LEZ38 LEL65573:LEZ65574 LEL131109:LEZ131110 LEL196645:LEZ196646 LEL262181:LEZ262182 LEL327717:LEZ327718 LEL393253:LEZ393254 LEL458789:LEZ458790 LEL524325:LEZ524326 LEL589861:LEZ589862 LEL655397:LEZ655398 LEL720933:LEZ720934 LEL786469:LEZ786470 LEL852005:LEZ852006 LEL917541:LEZ917542 LEL983077:LEZ983078 LOH37:LOV38 LOH65573:LOV65574 LOH131109:LOV131110 LOH196645:LOV196646 LOH262181:LOV262182 LOH327717:LOV327718 LOH393253:LOV393254 LOH458789:LOV458790 LOH524325:LOV524326 LOH589861:LOV589862 LOH655397:LOV655398 LOH720933:LOV720934 LOH786469:LOV786470 LOH852005:LOV852006 LOH917541:LOV917542 LOH983077:LOV983078 LYD37:LYR38 LYD65573:LYR65574 LYD131109:LYR131110 LYD196645:LYR196646 LYD262181:LYR262182 LYD327717:LYR327718 LYD393253:LYR393254 LYD458789:LYR458790 LYD524325:LYR524326 LYD589861:LYR589862 LYD655397:LYR655398 LYD720933:LYR720934 LYD786469:LYR786470 LYD852005:LYR852006 LYD917541:LYR917542 LYD983077:LYR983078 MHZ37:MIN38 MHZ65573:MIN65574 MHZ131109:MIN131110 MHZ196645:MIN196646 MHZ262181:MIN262182 MHZ327717:MIN327718 MHZ393253:MIN393254 MHZ458789:MIN458790 MHZ524325:MIN524326 MHZ589861:MIN589862 MHZ655397:MIN655398 MHZ720933:MIN720934 MHZ786469:MIN786470 MHZ852005:MIN852006 MHZ917541:MIN917542 MHZ983077:MIN983078 MRV37:MSJ38 MRV65573:MSJ65574 MRV131109:MSJ131110 MRV196645:MSJ196646 MRV262181:MSJ262182 MRV327717:MSJ327718 MRV393253:MSJ393254 MRV458789:MSJ458790 MRV524325:MSJ524326 MRV589861:MSJ589862 MRV655397:MSJ655398 MRV720933:MSJ720934 MRV786469:MSJ786470 MRV852005:MSJ852006 MRV917541:MSJ917542 MRV983077:MSJ983078 NBR37:NCF38 NBR65573:NCF65574 NBR131109:NCF131110 NBR196645:NCF196646 NBR262181:NCF262182 NBR327717:NCF327718 NBR393253:NCF393254 NBR458789:NCF458790 NBR524325:NCF524326 NBR589861:NCF589862 NBR655397:NCF655398 NBR720933:NCF720934 NBR786469:NCF786470 NBR852005:NCF852006 NBR917541:NCF917542 NBR983077:NCF983078 NLN37:NMB38 NLN65573:NMB65574 NLN131109:NMB131110 NLN196645:NMB196646 NLN262181:NMB262182 NLN327717:NMB327718 NLN393253:NMB393254 NLN458789:NMB458790 NLN524325:NMB524326 NLN589861:NMB589862 NLN655397:NMB655398 NLN720933:NMB720934 NLN786469:NMB786470 NLN852005:NMB852006 NLN917541:NMB917542 NLN983077:NMB983078 NVJ37:NVX38 NVJ65573:NVX65574 NVJ131109:NVX131110 NVJ196645:NVX196646 NVJ262181:NVX262182 NVJ327717:NVX327718 NVJ393253:NVX393254 NVJ458789:NVX458790 NVJ524325:NVX524326 NVJ589861:NVX589862 NVJ655397:NVX655398 NVJ720933:NVX720934 NVJ786469:NVX786470 NVJ852005:NVX852006 NVJ917541:NVX917542 NVJ983077:NVX983078 OFF37:OFT38 OFF65573:OFT65574 OFF131109:OFT131110 OFF196645:OFT196646 OFF262181:OFT262182 OFF327717:OFT327718 OFF393253:OFT393254 OFF458789:OFT458790 OFF524325:OFT524326 OFF589861:OFT589862 OFF655397:OFT655398 OFF720933:OFT720934 OFF786469:OFT786470 OFF852005:OFT852006 OFF917541:OFT917542 OFF983077:OFT983078 OPB37:OPP38 OPB65573:OPP65574 OPB131109:OPP131110 OPB196645:OPP196646 OPB262181:OPP262182 OPB327717:OPP327718 OPB393253:OPP393254 OPB458789:OPP458790 OPB524325:OPP524326 OPB589861:OPP589862 OPB655397:OPP655398 OPB720933:OPP720934 OPB786469:OPP786470 OPB852005:OPP852006 OPB917541:OPP917542 OPB983077:OPP983078 OYX37:OZL38 OYX65573:OZL65574 OYX131109:OZL131110 OYX196645:OZL196646 OYX262181:OZL262182 OYX327717:OZL327718 OYX393253:OZL393254 OYX458789:OZL458790 OYX524325:OZL524326 OYX589861:OZL589862 OYX655397:OZL655398 OYX720933:OZL720934 OYX786469:OZL786470 OYX852005:OZL852006 OYX917541:OZL917542 OYX983077:OZL983078 PIT37:PJH38 PIT65573:PJH65574 PIT131109:PJH131110 PIT196645:PJH196646 PIT262181:PJH262182 PIT327717:PJH327718 PIT393253:PJH393254 PIT458789:PJH458790 PIT524325:PJH524326 PIT589861:PJH589862 PIT655397:PJH655398 PIT720933:PJH720934 PIT786469:PJH786470 PIT852005:PJH852006 PIT917541:PJH917542 PIT983077:PJH983078 PSP37:PTD38 PSP65573:PTD65574 PSP131109:PTD131110 PSP196645:PTD196646 PSP262181:PTD262182 PSP327717:PTD327718 PSP393253:PTD393254 PSP458789:PTD458790 PSP524325:PTD524326 PSP589861:PTD589862 PSP655397:PTD655398 PSP720933:PTD720934 PSP786469:PTD786470 PSP852005:PTD852006 PSP917541:PTD917542 PSP983077:PTD983078 QCL37:QCZ38 QCL65573:QCZ65574 QCL131109:QCZ131110 QCL196645:QCZ196646 QCL262181:QCZ262182 QCL327717:QCZ327718 QCL393253:QCZ393254 QCL458789:QCZ458790 QCL524325:QCZ524326 QCL589861:QCZ589862 QCL655397:QCZ655398 QCL720933:QCZ720934 QCL786469:QCZ786470 QCL852005:QCZ852006 QCL917541:QCZ917542 QCL983077:QCZ983078 QMH37:QMV38 QMH65573:QMV65574 QMH131109:QMV131110 QMH196645:QMV196646 QMH262181:QMV262182 QMH327717:QMV327718 QMH393253:QMV393254 QMH458789:QMV458790 QMH524325:QMV524326 QMH589861:QMV589862 QMH655397:QMV655398 QMH720933:QMV720934 QMH786469:QMV786470 QMH852005:QMV852006 QMH917541:QMV917542 QMH983077:QMV983078 QWD37:QWR38 QWD65573:QWR65574 QWD131109:QWR131110 QWD196645:QWR196646 QWD262181:QWR262182 QWD327717:QWR327718 QWD393253:QWR393254 QWD458789:QWR458790 QWD524325:QWR524326 QWD589861:QWR589862 QWD655397:QWR655398 QWD720933:QWR720934 QWD786469:QWR786470 QWD852005:QWR852006 QWD917541:QWR917542 QWD983077:QWR983078 RFZ37:RGN38 RFZ65573:RGN65574 RFZ131109:RGN131110 RFZ196645:RGN196646 RFZ262181:RGN262182 RFZ327717:RGN327718 RFZ393253:RGN393254 RFZ458789:RGN458790 RFZ524325:RGN524326 RFZ589861:RGN589862 RFZ655397:RGN655398 RFZ720933:RGN720934 RFZ786469:RGN786470 RFZ852005:RGN852006 RFZ917541:RGN917542 RFZ983077:RGN983078 RPV37:RQJ38 RPV65573:RQJ65574 RPV131109:RQJ131110 RPV196645:RQJ196646 RPV262181:RQJ262182 RPV327717:RQJ327718 RPV393253:RQJ393254 RPV458789:RQJ458790 RPV524325:RQJ524326 RPV589861:RQJ589862 RPV655397:RQJ655398 RPV720933:RQJ720934 RPV786469:RQJ786470 RPV852005:RQJ852006 RPV917541:RQJ917542 RPV983077:RQJ983078 RZR37:SAF38 RZR65573:SAF65574 RZR131109:SAF131110 RZR196645:SAF196646 RZR262181:SAF262182 RZR327717:SAF327718 RZR393253:SAF393254 RZR458789:SAF458790 RZR524325:SAF524326 RZR589861:SAF589862 RZR655397:SAF655398 RZR720933:SAF720934 RZR786469:SAF786470 RZR852005:SAF852006 RZR917541:SAF917542 RZR983077:SAF983078 SJN37:SKB38 SJN65573:SKB65574 SJN131109:SKB131110 SJN196645:SKB196646 SJN262181:SKB262182 SJN327717:SKB327718 SJN393253:SKB393254 SJN458789:SKB458790 SJN524325:SKB524326 SJN589861:SKB589862 SJN655397:SKB655398 SJN720933:SKB720934 SJN786469:SKB786470 SJN852005:SKB852006 SJN917541:SKB917542 SJN983077:SKB983078 STJ37:STX38 STJ65573:STX65574 STJ131109:STX131110 STJ196645:STX196646 STJ262181:STX262182 STJ327717:STX327718 STJ393253:STX393254 STJ458789:STX458790 STJ524325:STX524326 STJ589861:STX589862 STJ655397:STX655398 STJ720933:STX720934 STJ786469:STX786470 STJ852005:STX852006 STJ917541:STX917542 STJ983077:STX983078 TDF37:TDT38 TDF65573:TDT65574 TDF131109:TDT131110 TDF196645:TDT196646 TDF262181:TDT262182 TDF327717:TDT327718 TDF393253:TDT393254 TDF458789:TDT458790 TDF524325:TDT524326 TDF589861:TDT589862 TDF655397:TDT655398 TDF720933:TDT720934 TDF786469:TDT786470 TDF852005:TDT852006 TDF917541:TDT917542 TDF983077:TDT983078 TNB37:TNP38 TNB65573:TNP65574 TNB131109:TNP131110 TNB196645:TNP196646 TNB262181:TNP262182 TNB327717:TNP327718 TNB393253:TNP393254 TNB458789:TNP458790 TNB524325:TNP524326 TNB589861:TNP589862 TNB655397:TNP655398 TNB720933:TNP720934 TNB786469:TNP786470 TNB852005:TNP852006 TNB917541:TNP917542 TNB983077:TNP983078 TWX37:TXL38 TWX65573:TXL65574 TWX131109:TXL131110 TWX196645:TXL196646 TWX262181:TXL262182 TWX327717:TXL327718 TWX393253:TXL393254 TWX458789:TXL458790 TWX524325:TXL524326 TWX589861:TXL589862 TWX655397:TXL655398 TWX720933:TXL720934 TWX786469:TXL786470 TWX852005:TXL852006 TWX917541:TXL917542 TWX983077:TXL983078 UGT37:UHH38 UGT65573:UHH65574 UGT131109:UHH131110 UGT196645:UHH196646 UGT262181:UHH262182 UGT327717:UHH327718 UGT393253:UHH393254 UGT458789:UHH458790 UGT524325:UHH524326 UGT589861:UHH589862 UGT655397:UHH655398 UGT720933:UHH720934 UGT786469:UHH786470 UGT852005:UHH852006 UGT917541:UHH917542 UGT983077:UHH983078 UQP37:URD38 UQP65573:URD65574 UQP131109:URD131110 UQP196645:URD196646 UQP262181:URD262182 UQP327717:URD327718 UQP393253:URD393254 UQP458789:URD458790 UQP524325:URD524326 UQP589861:URD589862 UQP655397:URD655398 UQP720933:URD720934 UQP786469:URD786470 UQP852005:URD852006 UQP917541:URD917542 UQP983077:URD983078 VAL37:VAZ38 VAL65573:VAZ65574 VAL131109:VAZ131110 VAL196645:VAZ196646 VAL262181:VAZ262182 VAL327717:VAZ327718 VAL393253:VAZ393254 VAL458789:VAZ458790 VAL524325:VAZ524326 VAL589861:VAZ589862 VAL655397:VAZ655398 VAL720933:VAZ720934 VAL786469:VAZ786470 VAL852005:VAZ852006 VAL917541:VAZ917542 VAL983077:VAZ983078 VKH37:VKV38 VKH65573:VKV65574 VKH131109:VKV131110 VKH196645:VKV196646 VKH262181:VKV262182 VKH327717:VKV327718 VKH393253:VKV393254 VKH458789:VKV458790 VKH524325:VKV524326 VKH589861:VKV589862 VKH655397:VKV655398 VKH720933:VKV720934 VKH786469:VKV786470 VKH852005:VKV852006 VKH917541:VKV917542 VKH983077:VKV983078 VUD37:VUR38 VUD65573:VUR65574 VUD131109:VUR131110 VUD196645:VUR196646 VUD262181:VUR262182 VUD327717:VUR327718 VUD393253:VUR393254 VUD458789:VUR458790 VUD524325:VUR524326 VUD589861:VUR589862 VUD655397:VUR655398 VUD720933:VUR720934 VUD786469:VUR786470 VUD852005:VUR852006 VUD917541:VUR917542 VUD983077:VUR983078 WDZ37:WEN38 WDZ65573:WEN65574 WDZ131109:WEN131110 WDZ196645:WEN196646 WDZ262181:WEN262182 WDZ327717:WEN327718 WDZ393253:WEN393254 WDZ458789:WEN458790 WDZ524325:WEN524326 WDZ589861:WEN589862 WDZ655397:WEN655398 WDZ720933:WEN720934 WDZ786469:WEN786470 WDZ852005:WEN852006 WDZ917541:WEN917542 WDZ983077:WEN983078 WNV37:WOJ38 WNV65573:WOJ65574 WNV131109:WOJ131110 WNV196645:WOJ196646 WNV262181:WOJ262182 WNV327717:WOJ327718 WNV393253:WOJ393254 WNV458789:WOJ458790 WNV524325:WOJ524326 WNV589861:WOJ589862 WNV655397:WOJ655398 WNV720933:WOJ720934 WNV786469:WOJ786470 WNV852005:WOJ852006 WNV917541:WOJ917542 WNV983077:WOJ983078 WXR37:WYF38 WXR65573:WYF65574 WXR131109:WYF131110 WXR196645:WYF196646 WXR262181:WYF262182 WXR327717:WYF327718 WXR393253:WYF393254 WXR458789:WYF458790 WXR524325:WYF524326 WXR589861:WYF589862 WXR655397:WYF655398 WXR720933:WYF720934 WXR786469:WYF786470 WXR852005:WYF852006 WXR917541:WYF917542 WXR983077:WYF983078" xr:uid="{00000000-0002-0000-0A00-000004000000}">
      <formula1>"　,中間検査,竣工検査"</formula1>
    </dataValidation>
    <dataValidation type="list" allowBlank="1" showInputMessage="1" showErrorMessage="1" sqref="BJ35:BX36 BJ65571:BX65572 BJ131107:BX131108 BJ196643:BX196644 BJ262179:BX262180 BJ327715:BX327716 BJ393251:BX393252 BJ458787:BX458788 BJ524323:BX524324 BJ589859:BX589860 BJ655395:BX655396 BJ720931:BX720932 BJ786467:BX786468 BJ852003:BX852004 BJ917539:BX917540 BJ983075:BX983076 LF35:LT36 LF65571:LT65572 LF131107:LT131108 LF196643:LT196644 LF262179:LT262180 LF327715:LT327716 LF393251:LT393252 LF458787:LT458788 LF524323:LT524324 LF589859:LT589860 LF655395:LT655396 LF720931:LT720932 LF786467:LT786468 LF852003:LT852004 LF917539:LT917540 LF983075:LT983076 VB35:VP36 VB65571:VP65572 VB131107:VP131108 VB196643:VP196644 VB262179:VP262180 VB327715:VP327716 VB393251:VP393252 VB458787:VP458788 VB524323:VP524324 VB589859:VP589860 VB655395:VP655396 VB720931:VP720932 VB786467:VP786468 VB852003:VP852004 VB917539:VP917540 VB983075:VP983076 AEX35:AFL36 AEX65571:AFL65572 AEX131107:AFL131108 AEX196643:AFL196644 AEX262179:AFL262180 AEX327715:AFL327716 AEX393251:AFL393252 AEX458787:AFL458788 AEX524323:AFL524324 AEX589859:AFL589860 AEX655395:AFL655396 AEX720931:AFL720932 AEX786467:AFL786468 AEX852003:AFL852004 AEX917539:AFL917540 AEX983075:AFL983076 AOT35:APH36 AOT65571:APH65572 AOT131107:APH131108 AOT196643:APH196644 AOT262179:APH262180 AOT327715:APH327716 AOT393251:APH393252 AOT458787:APH458788 AOT524323:APH524324 AOT589859:APH589860 AOT655395:APH655396 AOT720931:APH720932 AOT786467:APH786468 AOT852003:APH852004 AOT917539:APH917540 AOT983075:APH983076 AYP35:AZD36 AYP65571:AZD65572 AYP131107:AZD131108 AYP196643:AZD196644 AYP262179:AZD262180 AYP327715:AZD327716 AYP393251:AZD393252 AYP458787:AZD458788 AYP524323:AZD524324 AYP589859:AZD589860 AYP655395:AZD655396 AYP720931:AZD720932 AYP786467:AZD786468 AYP852003:AZD852004 AYP917539:AZD917540 AYP983075:AZD983076 BIL35:BIZ36 BIL65571:BIZ65572 BIL131107:BIZ131108 BIL196643:BIZ196644 BIL262179:BIZ262180 BIL327715:BIZ327716 BIL393251:BIZ393252 BIL458787:BIZ458788 BIL524323:BIZ524324 BIL589859:BIZ589860 BIL655395:BIZ655396 BIL720931:BIZ720932 BIL786467:BIZ786468 BIL852003:BIZ852004 BIL917539:BIZ917540 BIL983075:BIZ983076 BSH35:BSV36 BSH65571:BSV65572 BSH131107:BSV131108 BSH196643:BSV196644 BSH262179:BSV262180 BSH327715:BSV327716 BSH393251:BSV393252 BSH458787:BSV458788 BSH524323:BSV524324 BSH589859:BSV589860 BSH655395:BSV655396 BSH720931:BSV720932 BSH786467:BSV786468 BSH852003:BSV852004 BSH917539:BSV917540 BSH983075:BSV983076 CCD35:CCR36 CCD65571:CCR65572 CCD131107:CCR131108 CCD196643:CCR196644 CCD262179:CCR262180 CCD327715:CCR327716 CCD393251:CCR393252 CCD458787:CCR458788 CCD524323:CCR524324 CCD589859:CCR589860 CCD655395:CCR655396 CCD720931:CCR720932 CCD786467:CCR786468 CCD852003:CCR852004 CCD917539:CCR917540 CCD983075:CCR983076 CLZ35:CMN36 CLZ65571:CMN65572 CLZ131107:CMN131108 CLZ196643:CMN196644 CLZ262179:CMN262180 CLZ327715:CMN327716 CLZ393251:CMN393252 CLZ458787:CMN458788 CLZ524323:CMN524324 CLZ589859:CMN589860 CLZ655395:CMN655396 CLZ720931:CMN720932 CLZ786467:CMN786468 CLZ852003:CMN852004 CLZ917539:CMN917540 CLZ983075:CMN983076 CVV35:CWJ36 CVV65571:CWJ65572 CVV131107:CWJ131108 CVV196643:CWJ196644 CVV262179:CWJ262180 CVV327715:CWJ327716 CVV393251:CWJ393252 CVV458787:CWJ458788 CVV524323:CWJ524324 CVV589859:CWJ589860 CVV655395:CWJ655396 CVV720931:CWJ720932 CVV786467:CWJ786468 CVV852003:CWJ852004 CVV917539:CWJ917540 CVV983075:CWJ983076 DFR35:DGF36 DFR65571:DGF65572 DFR131107:DGF131108 DFR196643:DGF196644 DFR262179:DGF262180 DFR327715:DGF327716 DFR393251:DGF393252 DFR458787:DGF458788 DFR524323:DGF524324 DFR589859:DGF589860 DFR655395:DGF655396 DFR720931:DGF720932 DFR786467:DGF786468 DFR852003:DGF852004 DFR917539:DGF917540 DFR983075:DGF983076 DPN35:DQB36 DPN65571:DQB65572 DPN131107:DQB131108 DPN196643:DQB196644 DPN262179:DQB262180 DPN327715:DQB327716 DPN393251:DQB393252 DPN458787:DQB458788 DPN524323:DQB524324 DPN589859:DQB589860 DPN655395:DQB655396 DPN720931:DQB720932 DPN786467:DQB786468 DPN852003:DQB852004 DPN917539:DQB917540 DPN983075:DQB983076 DZJ35:DZX36 DZJ65571:DZX65572 DZJ131107:DZX131108 DZJ196643:DZX196644 DZJ262179:DZX262180 DZJ327715:DZX327716 DZJ393251:DZX393252 DZJ458787:DZX458788 DZJ524323:DZX524324 DZJ589859:DZX589860 DZJ655395:DZX655396 DZJ720931:DZX720932 DZJ786467:DZX786468 DZJ852003:DZX852004 DZJ917539:DZX917540 DZJ983075:DZX983076 EJF35:EJT36 EJF65571:EJT65572 EJF131107:EJT131108 EJF196643:EJT196644 EJF262179:EJT262180 EJF327715:EJT327716 EJF393251:EJT393252 EJF458787:EJT458788 EJF524323:EJT524324 EJF589859:EJT589860 EJF655395:EJT655396 EJF720931:EJT720932 EJF786467:EJT786468 EJF852003:EJT852004 EJF917539:EJT917540 EJF983075:EJT983076 ETB35:ETP36 ETB65571:ETP65572 ETB131107:ETP131108 ETB196643:ETP196644 ETB262179:ETP262180 ETB327715:ETP327716 ETB393251:ETP393252 ETB458787:ETP458788 ETB524323:ETP524324 ETB589859:ETP589860 ETB655395:ETP655396 ETB720931:ETP720932 ETB786467:ETP786468 ETB852003:ETP852004 ETB917539:ETP917540 ETB983075:ETP983076 FCX35:FDL36 FCX65571:FDL65572 FCX131107:FDL131108 FCX196643:FDL196644 FCX262179:FDL262180 FCX327715:FDL327716 FCX393251:FDL393252 FCX458787:FDL458788 FCX524323:FDL524324 FCX589859:FDL589860 FCX655395:FDL655396 FCX720931:FDL720932 FCX786467:FDL786468 FCX852003:FDL852004 FCX917539:FDL917540 FCX983075:FDL983076 FMT35:FNH36 FMT65571:FNH65572 FMT131107:FNH131108 FMT196643:FNH196644 FMT262179:FNH262180 FMT327715:FNH327716 FMT393251:FNH393252 FMT458787:FNH458788 FMT524323:FNH524324 FMT589859:FNH589860 FMT655395:FNH655396 FMT720931:FNH720932 FMT786467:FNH786468 FMT852003:FNH852004 FMT917539:FNH917540 FMT983075:FNH983076 FWP35:FXD36 FWP65571:FXD65572 FWP131107:FXD131108 FWP196643:FXD196644 FWP262179:FXD262180 FWP327715:FXD327716 FWP393251:FXD393252 FWP458787:FXD458788 FWP524323:FXD524324 FWP589859:FXD589860 FWP655395:FXD655396 FWP720931:FXD720932 FWP786467:FXD786468 FWP852003:FXD852004 FWP917539:FXD917540 FWP983075:FXD983076 GGL35:GGZ36 GGL65571:GGZ65572 GGL131107:GGZ131108 GGL196643:GGZ196644 GGL262179:GGZ262180 GGL327715:GGZ327716 GGL393251:GGZ393252 GGL458787:GGZ458788 GGL524323:GGZ524324 GGL589859:GGZ589860 GGL655395:GGZ655396 GGL720931:GGZ720932 GGL786467:GGZ786468 GGL852003:GGZ852004 GGL917539:GGZ917540 GGL983075:GGZ983076 GQH35:GQV36 GQH65571:GQV65572 GQH131107:GQV131108 GQH196643:GQV196644 GQH262179:GQV262180 GQH327715:GQV327716 GQH393251:GQV393252 GQH458787:GQV458788 GQH524323:GQV524324 GQH589859:GQV589860 GQH655395:GQV655396 GQH720931:GQV720932 GQH786467:GQV786468 GQH852003:GQV852004 GQH917539:GQV917540 GQH983075:GQV983076 HAD35:HAR36 HAD65571:HAR65572 HAD131107:HAR131108 HAD196643:HAR196644 HAD262179:HAR262180 HAD327715:HAR327716 HAD393251:HAR393252 HAD458787:HAR458788 HAD524323:HAR524324 HAD589859:HAR589860 HAD655395:HAR655396 HAD720931:HAR720932 HAD786467:HAR786468 HAD852003:HAR852004 HAD917539:HAR917540 HAD983075:HAR983076 HJZ35:HKN36 HJZ65571:HKN65572 HJZ131107:HKN131108 HJZ196643:HKN196644 HJZ262179:HKN262180 HJZ327715:HKN327716 HJZ393251:HKN393252 HJZ458787:HKN458788 HJZ524323:HKN524324 HJZ589859:HKN589860 HJZ655395:HKN655396 HJZ720931:HKN720932 HJZ786467:HKN786468 HJZ852003:HKN852004 HJZ917539:HKN917540 HJZ983075:HKN983076 HTV35:HUJ36 HTV65571:HUJ65572 HTV131107:HUJ131108 HTV196643:HUJ196644 HTV262179:HUJ262180 HTV327715:HUJ327716 HTV393251:HUJ393252 HTV458787:HUJ458788 HTV524323:HUJ524324 HTV589859:HUJ589860 HTV655395:HUJ655396 HTV720931:HUJ720932 HTV786467:HUJ786468 HTV852003:HUJ852004 HTV917539:HUJ917540 HTV983075:HUJ983076 IDR35:IEF36 IDR65571:IEF65572 IDR131107:IEF131108 IDR196643:IEF196644 IDR262179:IEF262180 IDR327715:IEF327716 IDR393251:IEF393252 IDR458787:IEF458788 IDR524323:IEF524324 IDR589859:IEF589860 IDR655395:IEF655396 IDR720931:IEF720932 IDR786467:IEF786468 IDR852003:IEF852004 IDR917539:IEF917540 IDR983075:IEF983076 INN35:IOB36 INN65571:IOB65572 INN131107:IOB131108 INN196643:IOB196644 INN262179:IOB262180 INN327715:IOB327716 INN393251:IOB393252 INN458787:IOB458788 INN524323:IOB524324 INN589859:IOB589860 INN655395:IOB655396 INN720931:IOB720932 INN786467:IOB786468 INN852003:IOB852004 INN917539:IOB917540 INN983075:IOB983076 IXJ35:IXX36 IXJ65571:IXX65572 IXJ131107:IXX131108 IXJ196643:IXX196644 IXJ262179:IXX262180 IXJ327715:IXX327716 IXJ393251:IXX393252 IXJ458787:IXX458788 IXJ524323:IXX524324 IXJ589859:IXX589860 IXJ655395:IXX655396 IXJ720931:IXX720932 IXJ786467:IXX786468 IXJ852003:IXX852004 IXJ917539:IXX917540 IXJ983075:IXX983076 JHF35:JHT36 JHF65571:JHT65572 JHF131107:JHT131108 JHF196643:JHT196644 JHF262179:JHT262180 JHF327715:JHT327716 JHF393251:JHT393252 JHF458787:JHT458788 JHF524323:JHT524324 JHF589859:JHT589860 JHF655395:JHT655396 JHF720931:JHT720932 JHF786467:JHT786468 JHF852003:JHT852004 JHF917539:JHT917540 JHF983075:JHT983076 JRB35:JRP36 JRB65571:JRP65572 JRB131107:JRP131108 JRB196643:JRP196644 JRB262179:JRP262180 JRB327715:JRP327716 JRB393251:JRP393252 JRB458787:JRP458788 JRB524323:JRP524324 JRB589859:JRP589860 JRB655395:JRP655396 JRB720931:JRP720932 JRB786467:JRP786468 JRB852003:JRP852004 JRB917539:JRP917540 JRB983075:JRP983076 KAX35:KBL36 KAX65571:KBL65572 KAX131107:KBL131108 KAX196643:KBL196644 KAX262179:KBL262180 KAX327715:KBL327716 KAX393251:KBL393252 KAX458787:KBL458788 KAX524323:KBL524324 KAX589859:KBL589860 KAX655395:KBL655396 KAX720931:KBL720932 KAX786467:KBL786468 KAX852003:KBL852004 KAX917539:KBL917540 KAX983075:KBL983076 KKT35:KLH36 KKT65571:KLH65572 KKT131107:KLH131108 KKT196643:KLH196644 KKT262179:KLH262180 KKT327715:KLH327716 KKT393251:KLH393252 KKT458787:KLH458788 KKT524323:KLH524324 KKT589859:KLH589860 KKT655395:KLH655396 KKT720931:KLH720932 KKT786467:KLH786468 KKT852003:KLH852004 KKT917539:KLH917540 KKT983075:KLH983076 KUP35:KVD36 KUP65571:KVD65572 KUP131107:KVD131108 KUP196643:KVD196644 KUP262179:KVD262180 KUP327715:KVD327716 KUP393251:KVD393252 KUP458787:KVD458788 KUP524323:KVD524324 KUP589859:KVD589860 KUP655395:KVD655396 KUP720931:KVD720932 KUP786467:KVD786468 KUP852003:KVD852004 KUP917539:KVD917540 KUP983075:KVD983076 LEL35:LEZ36 LEL65571:LEZ65572 LEL131107:LEZ131108 LEL196643:LEZ196644 LEL262179:LEZ262180 LEL327715:LEZ327716 LEL393251:LEZ393252 LEL458787:LEZ458788 LEL524323:LEZ524324 LEL589859:LEZ589860 LEL655395:LEZ655396 LEL720931:LEZ720932 LEL786467:LEZ786468 LEL852003:LEZ852004 LEL917539:LEZ917540 LEL983075:LEZ983076 LOH35:LOV36 LOH65571:LOV65572 LOH131107:LOV131108 LOH196643:LOV196644 LOH262179:LOV262180 LOH327715:LOV327716 LOH393251:LOV393252 LOH458787:LOV458788 LOH524323:LOV524324 LOH589859:LOV589860 LOH655395:LOV655396 LOH720931:LOV720932 LOH786467:LOV786468 LOH852003:LOV852004 LOH917539:LOV917540 LOH983075:LOV983076 LYD35:LYR36 LYD65571:LYR65572 LYD131107:LYR131108 LYD196643:LYR196644 LYD262179:LYR262180 LYD327715:LYR327716 LYD393251:LYR393252 LYD458787:LYR458788 LYD524323:LYR524324 LYD589859:LYR589860 LYD655395:LYR655396 LYD720931:LYR720932 LYD786467:LYR786468 LYD852003:LYR852004 LYD917539:LYR917540 LYD983075:LYR983076 MHZ35:MIN36 MHZ65571:MIN65572 MHZ131107:MIN131108 MHZ196643:MIN196644 MHZ262179:MIN262180 MHZ327715:MIN327716 MHZ393251:MIN393252 MHZ458787:MIN458788 MHZ524323:MIN524324 MHZ589859:MIN589860 MHZ655395:MIN655396 MHZ720931:MIN720932 MHZ786467:MIN786468 MHZ852003:MIN852004 MHZ917539:MIN917540 MHZ983075:MIN983076 MRV35:MSJ36 MRV65571:MSJ65572 MRV131107:MSJ131108 MRV196643:MSJ196644 MRV262179:MSJ262180 MRV327715:MSJ327716 MRV393251:MSJ393252 MRV458787:MSJ458788 MRV524323:MSJ524324 MRV589859:MSJ589860 MRV655395:MSJ655396 MRV720931:MSJ720932 MRV786467:MSJ786468 MRV852003:MSJ852004 MRV917539:MSJ917540 MRV983075:MSJ983076 NBR35:NCF36 NBR65571:NCF65572 NBR131107:NCF131108 NBR196643:NCF196644 NBR262179:NCF262180 NBR327715:NCF327716 NBR393251:NCF393252 NBR458787:NCF458788 NBR524323:NCF524324 NBR589859:NCF589860 NBR655395:NCF655396 NBR720931:NCF720932 NBR786467:NCF786468 NBR852003:NCF852004 NBR917539:NCF917540 NBR983075:NCF983076 NLN35:NMB36 NLN65571:NMB65572 NLN131107:NMB131108 NLN196643:NMB196644 NLN262179:NMB262180 NLN327715:NMB327716 NLN393251:NMB393252 NLN458787:NMB458788 NLN524323:NMB524324 NLN589859:NMB589860 NLN655395:NMB655396 NLN720931:NMB720932 NLN786467:NMB786468 NLN852003:NMB852004 NLN917539:NMB917540 NLN983075:NMB983076 NVJ35:NVX36 NVJ65571:NVX65572 NVJ131107:NVX131108 NVJ196643:NVX196644 NVJ262179:NVX262180 NVJ327715:NVX327716 NVJ393251:NVX393252 NVJ458787:NVX458788 NVJ524323:NVX524324 NVJ589859:NVX589860 NVJ655395:NVX655396 NVJ720931:NVX720932 NVJ786467:NVX786468 NVJ852003:NVX852004 NVJ917539:NVX917540 NVJ983075:NVX983076 OFF35:OFT36 OFF65571:OFT65572 OFF131107:OFT131108 OFF196643:OFT196644 OFF262179:OFT262180 OFF327715:OFT327716 OFF393251:OFT393252 OFF458787:OFT458788 OFF524323:OFT524324 OFF589859:OFT589860 OFF655395:OFT655396 OFF720931:OFT720932 OFF786467:OFT786468 OFF852003:OFT852004 OFF917539:OFT917540 OFF983075:OFT983076 OPB35:OPP36 OPB65571:OPP65572 OPB131107:OPP131108 OPB196643:OPP196644 OPB262179:OPP262180 OPB327715:OPP327716 OPB393251:OPP393252 OPB458787:OPP458788 OPB524323:OPP524324 OPB589859:OPP589860 OPB655395:OPP655396 OPB720931:OPP720932 OPB786467:OPP786468 OPB852003:OPP852004 OPB917539:OPP917540 OPB983075:OPP983076 OYX35:OZL36 OYX65571:OZL65572 OYX131107:OZL131108 OYX196643:OZL196644 OYX262179:OZL262180 OYX327715:OZL327716 OYX393251:OZL393252 OYX458787:OZL458788 OYX524323:OZL524324 OYX589859:OZL589860 OYX655395:OZL655396 OYX720931:OZL720932 OYX786467:OZL786468 OYX852003:OZL852004 OYX917539:OZL917540 OYX983075:OZL983076 PIT35:PJH36 PIT65571:PJH65572 PIT131107:PJH131108 PIT196643:PJH196644 PIT262179:PJH262180 PIT327715:PJH327716 PIT393251:PJH393252 PIT458787:PJH458788 PIT524323:PJH524324 PIT589859:PJH589860 PIT655395:PJH655396 PIT720931:PJH720932 PIT786467:PJH786468 PIT852003:PJH852004 PIT917539:PJH917540 PIT983075:PJH983076 PSP35:PTD36 PSP65571:PTD65572 PSP131107:PTD131108 PSP196643:PTD196644 PSP262179:PTD262180 PSP327715:PTD327716 PSP393251:PTD393252 PSP458787:PTD458788 PSP524323:PTD524324 PSP589859:PTD589860 PSP655395:PTD655396 PSP720931:PTD720932 PSP786467:PTD786468 PSP852003:PTD852004 PSP917539:PTD917540 PSP983075:PTD983076 QCL35:QCZ36 QCL65571:QCZ65572 QCL131107:QCZ131108 QCL196643:QCZ196644 QCL262179:QCZ262180 QCL327715:QCZ327716 QCL393251:QCZ393252 QCL458787:QCZ458788 QCL524323:QCZ524324 QCL589859:QCZ589860 QCL655395:QCZ655396 QCL720931:QCZ720932 QCL786467:QCZ786468 QCL852003:QCZ852004 QCL917539:QCZ917540 QCL983075:QCZ983076 QMH35:QMV36 QMH65571:QMV65572 QMH131107:QMV131108 QMH196643:QMV196644 QMH262179:QMV262180 QMH327715:QMV327716 QMH393251:QMV393252 QMH458787:QMV458788 QMH524323:QMV524324 QMH589859:QMV589860 QMH655395:QMV655396 QMH720931:QMV720932 QMH786467:QMV786468 QMH852003:QMV852004 QMH917539:QMV917540 QMH983075:QMV983076 QWD35:QWR36 QWD65571:QWR65572 QWD131107:QWR131108 QWD196643:QWR196644 QWD262179:QWR262180 QWD327715:QWR327716 QWD393251:QWR393252 QWD458787:QWR458788 QWD524323:QWR524324 QWD589859:QWR589860 QWD655395:QWR655396 QWD720931:QWR720932 QWD786467:QWR786468 QWD852003:QWR852004 QWD917539:QWR917540 QWD983075:QWR983076 RFZ35:RGN36 RFZ65571:RGN65572 RFZ131107:RGN131108 RFZ196643:RGN196644 RFZ262179:RGN262180 RFZ327715:RGN327716 RFZ393251:RGN393252 RFZ458787:RGN458788 RFZ524323:RGN524324 RFZ589859:RGN589860 RFZ655395:RGN655396 RFZ720931:RGN720932 RFZ786467:RGN786468 RFZ852003:RGN852004 RFZ917539:RGN917540 RFZ983075:RGN983076 RPV35:RQJ36 RPV65571:RQJ65572 RPV131107:RQJ131108 RPV196643:RQJ196644 RPV262179:RQJ262180 RPV327715:RQJ327716 RPV393251:RQJ393252 RPV458787:RQJ458788 RPV524323:RQJ524324 RPV589859:RQJ589860 RPV655395:RQJ655396 RPV720931:RQJ720932 RPV786467:RQJ786468 RPV852003:RQJ852004 RPV917539:RQJ917540 RPV983075:RQJ983076 RZR35:SAF36 RZR65571:SAF65572 RZR131107:SAF131108 RZR196643:SAF196644 RZR262179:SAF262180 RZR327715:SAF327716 RZR393251:SAF393252 RZR458787:SAF458788 RZR524323:SAF524324 RZR589859:SAF589860 RZR655395:SAF655396 RZR720931:SAF720932 RZR786467:SAF786468 RZR852003:SAF852004 RZR917539:SAF917540 RZR983075:SAF983076 SJN35:SKB36 SJN65571:SKB65572 SJN131107:SKB131108 SJN196643:SKB196644 SJN262179:SKB262180 SJN327715:SKB327716 SJN393251:SKB393252 SJN458787:SKB458788 SJN524323:SKB524324 SJN589859:SKB589860 SJN655395:SKB655396 SJN720931:SKB720932 SJN786467:SKB786468 SJN852003:SKB852004 SJN917539:SKB917540 SJN983075:SKB983076 STJ35:STX36 STJ65571:STX65572 STJ131107:STX131108 STJ196643:STX196644 STJ262179:STX262180 STJ327715:STX327716 STJ393251:STX393252 STJ458787:STX458788 STJ524323:STX524324 STJ589859:STX589860 STJ655395:STX655396 STJ720931:STX720932 STJ786467:STX786468 STJ852003:STX852004 STJ917539:STX917540 STJ983075:STX983076 TDF35:TDT36 TDF65571:TDT65572 TDF131107:TDT131108 TDF196643:TDT196644 TDF262179:TDT262180 TDF327715:TDT327716 TDF393251:TDT393252 TDF458787:TDT458788 TDF524323:TDT524324 TDF589859:TDT589860 TDF655395:TDT655396 TDF720931:TDT720932 TDF786467:TDT786468 TDF852003:TDT852004 TDF917539:TDT917540 TDF983075:TDT983076 TNB35:TNP36 TNB65571:TNP65572 TNB131107:TNP131108 TNB196643:TNP196644 TNB262179:TNP262180 TNB327715:TNP327716 TNB393251:TNP393252 TNB458787:TNP458788 TNB524323:TNP524324 TNB589859:TNP589860 TNB655395:TNP655396 TNB720931:TNP720932 TNB786467:TNP786468 TNB852003:TNP852004 TNB917539:TNP917540 TNB983075:TNP983076 TWX35:TXL36 TWX65571:TXL65572 TWX131107:TXL131108 TWX196643:TXL196644 TWX262179:TXL262180 TWX327715:TXL327716 TWX393251:TXL393252 TWX458787:TXL458788 TWX524323:TXL524324 TWX589859:TXL589860 TWX655395:TXL655396 TWX720931:TXL720932 TWX786467:TXL786468 TWX852003:TXL852004 TWX917539:TXL917540 TWX983075:TXL983076 UGT35:UHH36 UGT65571:UHH65572 UGT131107:UHH131108 UGT196643:UHH196644 UGT262179:UHH262180 UGT327715:UHH327716 UGT393251:UHH393252 UGT458787:UHH458788 UGT524323:UHH524324 UGT589859:UHH589860 UGT655395:UHH655396 UGT720931:UHH720932 UGT786467:UHH786468 UGT852003:UHH852004 UGT917539:UHH917540 UGT983075:UHH983076 UQP35:URD36 UQP65571:URD65572 UQP131107:URD131108 UQP196643:URD196644 UQP262179:URD262180 UQP327715:URD327716 UQP393251:URD393252 UQP458787:URD458788 UQP524323:URD524324 UQP589859:URD589860 UQP655395:URD655396 UQP720931:URD720932 UQP786467:URD786468 UQP852003:URD852004 UQP917539:URD917540 UQP983075:URD983076 VAL35:VAZ36 VAL65571:VAZ65572 VAL131107:VAZ131108 VAL196643:VAZ196644 VAL262179:VAZ262180 VAL327715:VAZ327716 VAL393251:VAZ393252 VAL458787:VAZ458788 VAL524323:VAZ524324 VAL589859:VAZ589860 VAL655395:VAZ655396 VAL720931:VAZ720932 VAL786467:VAZ786468 VAL852003:VAZ852004 VAL917539:VAZ917540 VAL983075:VAZ983076 VKH35:VKV36 VKH65571:VKV65572 VKH131107:VKV131108 VKH196643:VKV196644 VKH262179:VKV262180 VKH327715:VKV327716 VKH393251:VKV393252 VKH458787:VKV458788 VKH524323:VKV524324 VKH589859:VKV589860 VKH655395:VKV655396 VKH720931:VKV720932 VKH786467:VKV786468 VKH852003:VKV852004 VKH917539:VKV917540 VKH983075:VKV983076 VUD35:VUR36 VUD65571:VUR65572 VUD131107:VUR131108 VUD196643:VUR196644 VUD262179:VUR262180 VUD327715:VUR327716 VUD393251:VUR393252 VUD458787:VUR458788 VUD524323:VUR524324 VUD589859:VUR589860 VUD655395:VUR655396 VUD720931:VUR720932 VUD786467:VUR786468 VUD852003:VUR852004 VUD917539:VUR917540 VUD983075:VUR983076 WDZ35:WEN36 WDZ65571:WEN65572 WDZ131107:WEN131108 WDZ196643:WEN196644 WDZ262179:WEN262180 WDZ327715:WEN327716 WDZ393251:WEN393252 WDZ458787:WEN458788 WDZ524323:WEN524324 WDZ589859:WEN589860 WDZ655395:WEN655396 WDZ720931:WEN720932 WDZ786467:WEN786468 WDZ852003:WEN852004 WDZ917539:WEN917540 WDZ983075:WEN983076 WNV35:WOJ36 WNV65571:WOJ65572 WNV131107:WOJ131108 WNV196643:WOJ196644 WNV262179:WOJ262180 WNV327715:WOJ327716 WNV393251:WOJ393252 WNV458787:WOJ458788 WNV524323:WOJ524324 WNV589859:WOJ589860 WNV655395:WOJ655396 WNV720931:WOJ720932 WNV786467:WOJ786468 WNV852003:WOJ852004 WNV917539:WOJ917540 WNV983075:WOJ983076 WXR35:WYF36 WXR65571:WYF65572 WXR131107:WYF131108 WXR196643:WYF196644 WXR262179:WYF262180 WXR327715:WYF327716 WXR393251:WYF393252 WXR458787:WYF458788 WXR524323:WYF524324 WXR589859:WYF589860 WXR655395:WYF655396 WXR720931:WYF720932 WXR786467:WYF786468 WXR852003:WYF852004 WXR917539:WYF917540 WXR983075:WYF983076" xr:uid="{00000000-0002-0000-0A00-000005000000}">
      <formula1>"　,適合証明現場検査"</formula1>
    </dataValidation>
    <dataValidation type="list" allowBlank="1" showInputMessage="1" showErrorMessage="1" sqref="BJ29:BX30 BJ65565:BX65566 BJ131101:BX131102 BJ196637:BX196638 BJ262173:BX262174 BJ327709:BX327710 BJ393245:BX393246 BJ458781:BX458782 BJ524317:BX524318 BJ589853:BX589854 BJ655389:BX655390 BJ720925:BX720926 BJ786461:BX786462 BJ851997:BX851998 BJ917533:BX917534 BJ983069:BX983070 LF29:LT30 LF65565:LT65566 LF131101:LT131102 LF196637:LT196638 LF262173:LT262174 LF327709:LT327710 LF393245:LT393246 LF458781:LT458782 LF524317:LT524318 LF589853:LT589854 LF655389:LT655390 LF720925:LT720926 LF786461:LT786462 LF851997:LT851998 LF917533:LT917534 LF983069:LT983070 VB29:VP30 VB65565:VP65566 VB131101:VP131102 VB196637:VP196638 VB262173:VP262174 VB327709:VP327710 VB393245:VP393246 VB458781:VP458782 VB524317:VP524318 VB589853:VP589854 VB655389:VP655390 VB720925:VP720926 VB786461:VP786462 VB851997:VP851998 VB917533:VP917534 VB983069:VP983070 AEX29:AFL30 AEX65565:AFL65566 AEX131101:AFL131102 AEX196637:AFL196638 AEX262173:AFL262174 AEX327709:AFL327710 AEX393245:AFL393246 AEX458781:AFL458782 AEX524317:AFL524318 AEX589853:AFL589854 AEX655389:AFL655390 AEX720925:AFL720926 AEX786461:AFL786462 AEX851997:AFL851998 AEX917533:AFL917534 AEX983069:AFL983070 AOT29:APH30 AOT65565:APH65566 AOT131101:APH131102 AOT196637:APH196638 AOT262173:APH262174 AOT327709:APH327710 AOT393245:APH393246 AOT458781:APH458782 AOT524317:APH524318 AOT589853:APH589854 AOT655389:APH655390 AOT720925:APH720926 AOT786461:APH786462 AOT851997:APH851998 AOT917533:APH917534 AOT983069:APH983070 AYP29:AZD30 AYP65565:AZD65566 AYP131101:AZD131102 AYP196637:AZD196638 AYP262173:AZD262174 AYP327709:AZD327710 AYP393245:AZD393246 AYP458781:AZD458782 AYP524317:AZD524318 AYP589853:AZD589854 AYP655389:AZD655390 AYP720925:AZD720926 AYP786461:AZD786462 AYP851997:AZD851998 AYP917533:AZD917534 AYP983069:AZD983070 BIL29:BIZ30 BIL65565:BIZ65566 BIL131101:BIZ131102 BIL196637:BIZ196638 BIL262173:BIZ262174 BIL327709:BIZ327710 BIL393245:BIZ393246 BIL458781:BIZ458782 BIL524317:BIZ524318 BIL589853:BIZ589854 BIL655389:BIZ655390 BIL720925:BIZ720926 BIL786461:BIZ786462 BIL851997:BIZ851998 BIL917533:BIZ917534 BIL983069:BIZ983070 BSH29:BSV30 BSH65565:BSV65566 BSH131101:BSV131102 BSH196637:BSV196638 BSH262173:BSV262174 BSH327709:BSV327710 BSH393245:BSV393246 BSH458781:BSV458782 BSH524317:BSV524318 BSH589853:BSV589854 BSH655389:BSV655390 BSH720925:BSV720926 BSH786461:BSV786462 BSH851997:BSV851998 BSH917533:BSV917534 BSH983069:BSV983070 CCD29:CCR30 CCD65565:CCR65566 CCD131101:CCR131102 CCD196637:CCR196638 CCD262173:CCR262174 CCD327709:CCR327710 CCD393245:CCR393246 CCD458781:CCR458782 CCD524317:CCR524318 CCD589853:CCR589854 CCD655389:CCR655390 CCD720925:CCR720926 CCD786461:CCR786462 CCD851997:CCR851998 CCD917533:CCR917534 CCD983069:CCR983070 CLZ29:CMN30 CLZ65565:CMN65566 CLZ131101:CMN131102 CLZ196637:CMN196638 CLZ262173:CMN262174 CLZ327709:CMN327710 CLZ393245:CMN393246 CLZ458781:CMN458782 CLZ524317:CMN524318 CLZ589853:CMN589854 CLZ655389:CMN655390 CLZ720925:CMN720926 CLZ786461:CMN786462 CLZ851997:CMN851998 CLZ917533:CMN917534 CLZ983069:CMN983070 CVV29:CWJ30 CVV65565:CWJ65566 CVV131101:CWJ131102 CVV196637:CWJ196638 CVV262173:CWJ262174 CVV327709:CWJ327710 CVV393245:CWJ393246 CVV458781:CWJ458782 CVV524317:CWJ524318 CVV589853:CWJ589854 CVV655389:CWJ655390 CVV720925:CWJ720926 CVV786461:CWJ786462 CVV851997:CWJ851998 CVV917533:CWJ917534 CVV983069:CWJ983070 DFR29:DGF30 DFR65565:DGF65566 DFR131101:DGF131102 DFR196637:DGF196638 DFR262173:DGF262174 DFR327709:DGF327710 DFR393245:DGF393246 DFR458781:DGF458782 DFR524317:DGF524318 DFR589853:DGF589854 DFR655389:DGF655390 DFR720925:DGF720926 DFR786461:DGF786462 DFR851997:DGF851998 DFR917533:DGF917534 DFR983069:DGF983070 DPN29:DQB30 DPN65565:DQB65566 DPN131101:DQB131102 DPN196637:DQB196638 DPN262173:DQB262174 DPN327709:DQB327710 DPN393245:DQB393246 DPN458781:DQB458782 DPN524317:DQB524318 DPN589853:DQB589854 DPN655389:DQB655390 DPN720925:DQB720926 DPN786461:DQB786462 DPN851997:DQB851998 DPN917533:DQB917534 DPN983069:DQB983070 DZJ29:DZX30 DZJ65565:DZX65566 DZJ131101:DZX131102 DZJ196637:DZX196638 DZJ262173:DZX262174 DZJ327709:DZX327710 DZJ393245:DZX393246 DZJ458781:DZX458782 DZJ524317:DZX524318 DZJ589853:DZX589854 DZJ655389:DZX655390 DZJ720925:DZX720926 DZJ786461:DZX786462 DZJ851997:DZX851998 DZJ917533:DZX917534 DZJ983069:DZX983070 EJF29:EJT30 EJF65565:EJT65566 EJF131101:EJT131102 EJF196637:EJT196638 EJF262173:EJT262174 EJF327709:EJT327710 EJF393245:EJT393246 EJF458781:EJT458782 EJF524317:EJT524318 EJF589853:EJT589854 EJF655389:EJT655390 EJF720925:EJT720926 EJF786461:EJT786462 EJF851997:EJT851998 EJF917533:EJT917534 EJF983069:EJT983070 ETB29:ETP30 ETB65565:ETP65566 ETB131101:ETP131102 ETB196637:ETP196638 ETB262173:ETP262174 ETB327709:ETP327710 ETB393245:ETP393246 ETB458781:ETP458782 ETB524317:ETP524318 ETB589853:ETP589854 ETB655389:ETP655390 ETB720925:ETP720926 ETB786461:ETP786462 ETB851997:ETP851998 ETB917533:ETP917534 ETB983069:ETP983070 FCX29:FDL30 FCX65565:FDL65566 FCX131101:FDL131102 FCX196637:FDL196638 FCX262173:FDL262174 FCX327709:FDL327710 FCX393245:FDL393246 FCX458781:FDL458782 FCX524317:FDL524318 FCX589853:FDL589854 FCX655389:FDL655390 FCX720925:FDL720926 FCX786461:FDL786462 FCX851997:FDL851998 FCX917533:FDL917534 FCX983069:FDL983070 FMT29:FNH30 FMT65565:FNH65566 FMT131101:FNH131102 FMT196637:FNH196638 FMT262173:FNH262174 FMT327709:FNH327710 FMT393245:FNH393246 FMT458781:FNH458782 FMT524317:FNH524318 FMT589853:FNH589854 FMT655389:FNH655390 FMT720925:FNH720926 FMT786461:FNH786462 FMT851997:FNH851998 FMT917533:FNH917534 FMT983069:FNH983070 FWP29:FXD30 FWP65565:FXD65566 FWP131101:FXD131102 FWP196637:FXD196638 FWP262173:FXD262174 FWP327709:FXD327710 FWP393245:FXD393246 FWP458781:FXD458782 FWP524317:FXD524318 FWP589853:FXD589854 FWP655389:FXD655390 FWP720925:FXD720926 FWP786461:FXD786462 FWP851997:FXD851998 FWP917533:FXD917534 FWP983069:FXD983070 GGL29:GGZ30 GGL65565:GGZ65566 GGL131101:GGZ131102 GGL196637:GGZ196638 GGL262173:GGZ262174 GGL327709:GGZ327710 GGL393245:GGZ393246 GGL458781:GGZ458782 GGL524317:GGZ524318 GGL589853:GGZ589854 GGL655389:GGZ655390 GGL720925:GGZ720926 GGL786461:GGZ786462 GGL851997:GGZ851998 GGL917533:GGZ917534 GGL983069:GGZ983070 GQH29:GQV30 GQH65565:GQV65566 GQH131101:GQV131102 GQH196637:GQV196638 GQH262173:GQV262174 GQH327709:GQV327710 GQH393245:GQV393246 GQH458781:GQV458782 GQH524317:GQV524318 GQH589853:GQV589854 GQH655389:GQV655390 GQH720925:GQV720926 GQH786461:GQV786462 GQH851997:GQV851998 GQH917533:GQV917534 GQH983069:GQV983070 HAD29:HAR30 HAD65565:HAR65566 HAD131101:HAR131102 HAD196637:HAR196638 HAD262173:HAR262174 HAD327709:HAR327710 HAD393245:HAR393246 HAD458781:HAR458782 HAD524317:HAR524318 HAD589853:HAR589854 HAD655389:HAR655390 HAD720925:HAR720926 HAD786461:HAR786462 HAD851997:HAR851998 HAD917533:HAR917534 HAD983069:HAR983070 HJZ29:HKN30 HJZ65565:HKN65566 HJZ131101:HKN131102 HJZ196637:HKN196638 HJZ262173:HKN262174 HJZ327709:HKN327710 HJZ393245:HKN393246 HJZ458781:HKN458782 HJZ524317:HKN524318 HJZ589853:HKN589854 HJZ655389:HKN655390 HJZ720925:HKN720926 HJZ786461:HKN786462 HJZ851997:HKN851998 HJZ917533:HKN917534 HJZ983069:HKN983070 HTV29:HUJ30 HTV65565:HUJ65566 HTV131101:HUJ131102 HTV196637:HUJ196638 HTV262173:HUJ262174 HTV327709:HUJ327710 HTV393245:HUJ393246 HTV458781:HUJ458782 HTV524317:HUJ524318 HTV589853:HUJ589854 HTV655389:HUJ655390 HTV720925:HUJ720926 HTV786461:HUJ786462 HTV851997:HUJ851998 HTV917533:HUJ917534 HTV983069:HUJ983070 IDR29:IEF30 IDR65565:IEF65566 IDR131101:IEF131102 IDR196637:IEF196638 IDR262173:IEF262174 IDR327709:IEF327710 IDR393245:IEF393246 IDR458781:IEF458782 IDR524317:IEF524318 IDR589853:IEF589854 IDR655389:IEF655390 IDR720925:IEF720926 IDR786461:IEF786462 IDR851997:IEF851998 IDR917533:IEF917534 IDR983069:IEF983070 INN29:IOB30 INN65565:IOB65566 INN131101:IOB131102 INN196637:IOB196638 INN262173:IOB262174 INN327709:IOB327710 INN393245:IOB393246 INN458781:IOB458782 INN524317:IOB524318 INN589853:IOB589854 INN655389:IOB655390 INN720925:IOB720926 INN786461:IOB786462 INN851997:IOB851998 INN917533:IOB917534 INN983069:IOB983070 IXJ29:IXX30 IXJ65565:IXX65566 IXJ131101:IXX131102 IXJ196637:IXX196638 IXJ262173:IXX262174 IXJ327709:IXX327710 IXJ393245:IXX393246 IXJ458781:IXX458782 IXJ524317:IXX524318 IXJ589853:IXX589854 IXJ655389:IXX655390 IXJ720925:IXX720926 IXJ786461:IXX786462 IXJ851997:IXX851998 IXJ917533:IXX917534 IXJ983069:IXX983070 JHF29:JHT30 JHF65565:JHT65566 JHF131101:JHT131102 JHF196637:JHT196638 JHF262173:JHT262174 JHF327709:JHT327710 JHF393245:JHT393246 JHF458781:JHT458782 JHF524317:JHT524318 JHF589853:JHT589854 JHF655389:JHT655390 JHF720925:JHT720926 JHF786461:JHT786462 JHF851997:JHT851998 JHF917533:JHT917534 JHF983069:JHT983070 JRB29:JRP30 JRB65565:JRP65566 JRB131101:JRP131102 JRB196637:JRP196638 JRB262173:JRP262174 JRB327709:JRP327710 JRB393245:JRP393246 JRB458781:JRP458782 JRB524317:JRP524318 JRB589853:JRP589854 JRB655389:JRP655390 JRB720925:JRP720926 JRB786461:JRP786462 JRB851997:JRP851998 JRB917533:JRP917534 JRB983069:JRP983070 KAX29:KBL30 KAX65565:KBL65566 KAX131101:KBL131102 KAX196637:KBL196638 KAX262173:KBL262174 KAX327709:KBL327710 KAX393245:KBL393246 KAX458781:KBL458782 KAX524317:KBL524318 KAX589853:KBL589854 KAX655389:KBL655390 KAX720925:KBL720926 KAX786461:KBL786462 KAX851997:KBL851998 KAX917533:KBL917534 KAX983069:KBL983070 KKT29:KLH30 KKT65565:KLH65566 KKT131101:KLH131102 KKT196637:KLH196638 KKT262173:KLH262174 KKT327709:KLH327710 KKT393245:KLH393246 KKT458781:KLH458782 KKT524317:KLH524318 KKT589853:KLH589854 KKT655389:KLH655390 KKT720925:KLH720926 KKT786461:KLH786462 KKT851997:KLH851998 KKT917533:KLH917534 KKT983069:KLH983070 KUP29:KVD30 KUP65565:KVD65566 KUP131101:KVD131102 KUP196637:KVD196638 KUP262173:KVD262174 KUP327709:KVD327710 KUP393245:KVD393246 KUP458781:KVD458782 KUP524317:KVD524318 KUP589853:KVD589854 KUP655389:KVD655390 KUP720925:KVD720926 KUP786461:KVD786462 KUP851997:KVD851998 KUP917533:KVD917534 KUP983069:KVD983070 LEL29:LEZ30 LEL65565:LEZ65566 LEL131101:LEZ131102 LEL196637:LEZ196638 LEL262173:LEZ262174 LEL327709:LEZ327710 LEL393245:LEZ393246 LEL458781:LEZ458782 LEL524317:LEZ524318 LEL589853:LEZ589854 LEL655389:LEZ655390 LEL720925:LEZ720926 LEL786461:LEZ786462 LEL851997:LEZ851998 LEL917533:LEZ917534 LEL983069:LEZ983070 LOH29:LOV30 LOH65565:LOV65566 LOH131101:LOV131102 LOH196637:LOV196638 LOH262173:LOV262174 LOH327709:LOV327710 LOH393245:LOV393246 LOH458781:LOV458782 LOH524317:LOV524318 LOH589853:LOV589854 LOH655389:LOV655390 LOH720925:LOV720926 LOH786461:LOV786462 LOH851997:LOV851998 LOH917533:LOV917534 LOH983069:LOV983070 LYD29:LYR30 LYD65565:LYR65566 LYD131101:LYR131102 LYD196637:LYR196638 LYD262173:LYR262174 LYD327709:LYR327710 LYD393245:LYR393246 LYD458781:LYR458782 LYD524317:LYR524318 LYD589853:LYR589854 LYD655389:LYR655390 LYD720925:LYR720926 LYD786461:LYR786462 LYD851997:LYR851998 LYD917533:LYR917534 LYD983069:LYR983070 MHZ29:MIN30 MHZ65565:MIN65566 MHZ131101:MIN131102 MHZ196637:MIN196638 MHZ262173:MIN262174 MHZ327709:MIN327710 MHZ393245:MIN393246 MHZ458781:MIN458782 MHZ524317:MIN524318 MHZ589853:MIN589854 MHZ655389:MIN655390 MHZ720925:MIN720926 MHZ786461:MIN786462 MHZ851997:MIN851998 MHZ917533:MIN917534 MHZ983069:MIN983070 MRV29:MSJ30 MRV65565:MSJ65566 MRV131101:MSJ131102 MRV196637:MSJ196638 MRV262173:MSJ262174 MRV327709:MSJ327710 MRV393245:MSJ393246 MRV458781:MSJ458782 MRV524317:MSJ524318 MRV589853:MSJ589854 MRV655389:MSJ655390 MRV720925:MSJ720926 MRV786461:MSJ786462 MRV851997:MSJ851998 MRV917533:MSJ917534 MRV983069:MSJ983070 NBR29:NCF30 NBR65565:NCF65566 NBR131101:NCF131102 NBR196637:NCF196638 NBR262173:NCF262174 NBR327709:NCF327710 NBR393245:NCF393246 NBR458781:NCF458782 NBR524317:NCF524318 NBR589853:NCF589854 NBR655389:NCF655390 NBR720925:NCF720926 NBR786461:NCF786462 NBR851997:NCF851998 NBR917533:NCF917534 NBR983069:NCF983070 NLN29:NMB30 NLN65565:NMB65566 NLN131101:NMB131102 NLN196637:NMB196638 NLN262173:NMB262174 NLN327709:NMB327710 NLN393245:NMB393246 NLN458781:NMB458782 NLN524317:NMB524318 NLN589853:NMB589854 NLN655389:NMB655390 NLN720925:NMB720926 NLN786461:NMB786462 NLN851997:NMB851998 NLN917533:NMB917534 NLN983069:NMB983070 NVJ29:NVX30 NVJ65565:NVX65566 NVJ131101:NVX131102 NVJ196637:NVX196638 NVJ262173:NVX262174 NVJ327709:NVX327710 NVJ393245:NVX393246 NVJ458781:NVX458782 NVJ524317:NVX524318 NVJ589853:NVX589854 NVJ655389:NVX655390 NVJ720925:NVX720926 NVJ786461:NVX786462 NVJ851997:NVX851998 NVJ917533:NVX917534 NVJ983069:NVX983070 OFF29:OFT30 OFF65565:OFT65566 OFF131101:OFT131102 OFF196637:OFT196638 OFF262173:OFT262174 OFF327709:OFT327710 OFF393245:OFT393246 OFF458781:OFT458782 OFF524317:OFT524318 OFF589853:OFT589854 OFF655389:OFT655390 OFF720925:OFT720926 OFF786461:OFT786462 OFF851997:OFT851998 OFF917533:OFT917534 OFF983069:OFT983070 OPB29:OPP30 OPB65565:OPP65566 OPB131101:OPP131102 OPB196637:OPP196638 OPB262173:OPP262174 OPB327709:OPP327710 OPB393245:OPP393246 OPB458781:OPP458782 OPB524317:OPP524318 OPB589853:OPP589854 OPB655389:OPP655390 OPB720925:OPP720926 OPB786461:OPP786462 OPB851997:OPP851998 OPB917533:OPP917534 OPB983069:OPP983070 OYX29:OZL30 OYX65565:OZL65566 OYX131101:OZL131102 OYX196637:OZL196638 OYX262173:OZL262174 OYX327709:OZL327710 OYX393245:OZL393246 OYX458781:OZL458782 OYX524317:OZL524318 OYX589853:OZL589854 OYX655389:OZL655390 OYX720925:OZL720926 OYX786461:OZL786462 OYX851997:OZL851998 OYX917533:OZL917534 OYX983069:OZL983070 PIT29:PJH30 PIT65565:PJH65566 PIT131101:PJH131102 PIT196637:PJH196638 PIT262173:PJH262174 PIT327709:PJH327710 PIT393245:PJH393246 PIT458781:PJH458782 PIT524317:PJH524318 PIT589853:PJH589854 PIT655389:PJH655390 PIT720925:PJH720926 PIT786461:PJH786462 PIT851997:PJH851998 PIT917533:PJH917534 PIT983069:PJH983070 PSP29:PTD30 PSP65565:PTD65566 PSP131101:PTD131102 PSP196637:PTD196638 PSP262173:PTD262174 PSP327709:PTD327710 PSP393245:PTD393246 PSP458781:PTD458782 PSP524317:PTD524318 PSP589853:PTD589854 PSP655389:PTD655390 PSP720925:PTD720926 PSP786461:PTD786462 PSP851997:PTD851998 PSP917533:PTD917534 PSP983069:PTD983070 QCL29:QCZ30 QCL65565:QCZ65566 QCL131101:QCZ131102 QCL196637:QCZ196638 QCL262173:QCZ262174 QCL327709:QCZ327710 QCL393245:QCZ393246 QCL458781:QCZ458782 QCL524317:QCZ524318 QCL589853:QCZ589854 QCL655389:QCZ655390 QCL720925:QCZ720926 QCL786461:QCZ786462 QCL851997:QCZ851998 QCL917533:QCZ917534 QCL983069:QCZ983070 QMH29:QMV30 QMH65565:QMV65566 QMH131101:QMV131102 QMH196637:QMV196638 QMH262173:QMV262174 QMH327709:QMV327710 QMH393245:QMV393246 QMH458781:QMV458782 QMH524317:QMV524318 QMH589853:QMV589854 QMH655389:QMV655390 QMH720925:QMV720926 QMH786461:QMV786462 QMH851997:QMV851998 QMH917533:QMV917534 QMH983069:QMV983070 QWD29:QWR30 QWD65565:QWR65566 QWD131101:QWR131102 QWD196637:QWR196638 QWD262173:QWR262174 QWD327709:QWR327710 QWD393245:QWR393246 QWD458781:QWR458782 QWD524317:QWR524318 QWD589853:QWR589854 QWD655389:QWR655390 QWD720925:QWR720926 QWD786461:QWR786462 QWD851997:QWR851998 QWD917533:QWR917534 QWD983069:QWR983070 RFZ29:RGN30 RFZ65565:RGN65566 RFZ131101:RGN131102 RFZ196637:RGN196638 RFZ262173:RGN262174 RFZ327709:RGN327710 RFZ393245:RGN393246 RFZ458781:RGN458782 RFZ524317:RGN524318 RFZ589853:RGN589854 RFZ655389:RGN655390 RFZ720925:RGN720926 RFZ786461:RGN786462 RFZ851997:RGN851998 RFZ917533:RGN917534 RFZ983069:RGN983070 RPV29:RQJ30 RPV65565:RQJ65566 RPV131101:RQJ131102 RPV196637:RQJ196638 RPV262173:RQJ262174 RPV327709:RQJ327710 RPV393245:RQJ393246 RPV458781:RQJ458782 RPV524317:RQJ524318 RPV589853:RQJ589854 RPV655389:RQJ655390 RPV720925:RQJ720926 RPV786461:RQJ786462 RPV851997:RQJ851998 RPV917533:RQJ917534 RPV983069:RQJ983070 RZR29:SAF30 RZR65565:SAF65566 RZR131101:SAF131102 RZR196637:SAF196638 RZR262173:SAF262174 RZR327709:SAF327710 RZR393245:SAF393246 RZR458781:SAF458782 RZR524317:SAF524318 RZR589853:SAF589854 RZR655389:SAF655390 RZR720925:SAF720926 RZR786461:SAF786462 RZR851997:SAF851998 RZR917533:SAF917534 RZR983069:SAF983070 SJN29:SKB30 SJN65565:SKB65566 SJN131101:SKB131102 SJN196637:SKB196638 SJN262173:SKB262174 SJN327709:SKB327710 SJN393245:SKB393246 SJN458781:SKB458782 SJN524317:SKB524318 SJN589853:SKB589854 SJN655389:SKB655390 SJN720925:SKB720926 SJN786461:SKB786462 SJN851997:SKB851998 SJN917533:SKB917534 SJN983069:SKB983070 STJ29:STX30 STJ65565:STX65566 STJ131101:STX131102 STJ196637:STX196638 STJ262173:STX262174 STJ327709:STX327710 STJ393245:STX393246 STJ458781:STX458782 STJ524317:STX524318 STJ589853:STX589854 STJ655389:STX655390 STJ720925:STX720926 STJ786461:STX786462 STJ851997:STX851998 STJ917533:STX917534 STJ983069:STX983070 TDF29:TDT30 TDF65565:TDT65566 TDF131101:TDT131102 TDF196637:TDT196638 TDF262173:TDT262174 TDF327709:TDT327710 TDF393245:TDT393246 TDF458781:TDT458782 TDF524317:TDT524318 TDF589853:TDT589854 TDF655389:TDT655390 TDF720925:TDT720926 TDF786461:TDT786462 TDF851997:TDT851998 TDF917533:TDT917534 TDF983069:TDT983070 TNB29:TNP30 TNB65565:TNP65566 TNB131101:TNP131102 TNB196637:TNP196638 TNB262173:TNP262174 TNB327709:TNP327710 TNB393245:TNP393246 TNB458781:TNP458782 TNB524317:TNP524318 TNB589853:TNP589854 TNB655389:TNP655390 TNB720925:TNP720926 TNB786461:TNP786462 TNB851997:TNP851998 TNB917533:TNP917534 TNB983069:TNP983070 TWX29:TXL30 TWX65565:TXL65566 TWX131101:TXL131102 TWX196637:TXL196638 TWX262173:TXL262174 TWX327709:TXL327710 TWX393245:TXL393246 TWX458781:TXL458782 TWX524317:TXL524318 TWX589853:TXL589854 TWX655389:TXL655390 TWX720925:TXL720926 TWX786461:TXL786462 TWX851997:TXL851998 TWX917533:TXL917534 TWX983069:TXL983070 UGT29:UHH30 UGT65565:UHH65566 UGT131101:UHH131102 UGT196637:UHH196638 UGT262173:UHH262174 UGT327709:UHH327710 UGT393245:UHH393246 UGT458781:UHH458782 UGT524317:UHH524318 UGT589853:UHH589854 UGT655389:UHH655390 UGT720925:UHH720926 UGT786461:UHH786462 UGT851997:UHH851998 UGT917533:UHH917534 UGT983069:UHH983070 UQP29:URD30 UQP65565:URD65566 UQP131101:URD131102 UQP196637:URD196638 UQP262173:URD262174 UQP327709:URD327710 UQP393245:URD393246 UQP458781:URD458782 UQP524317:URD524318 UQP589853:URD589854 UQP655389:URD655390 UQP720925:URD720926 UQP786461:URD786462 UQP851997:URD851998 UQP917533:URD917534 UQP983069:URD983070 VAL29:VAZ30 VAL65565:VAZ65566 VAL131101:VAZ131102 VAL196637:VAZ196638 VAL262173:VAZ262174 VAL327709:VAZ327710 VAL393245:VAZ393246 VAL458781:VAZ458782 VAL524317:VAZ524318 VAL589853:VAZ589854 VAL655389:VAZ655390 VAL720925:VAZ720926 VAL786461:VAZ786462 VAL851997:VAZ851998 VAL917533:VAZ917534 VAL983069:VAZ983070 VKH29:VKV30 VKH65565:VKV65566 VKH131101:VKV131102 VKH196637:VKV196638 VKH262173:VKV262174 VKH327709:VKV327710 VKH393245:VKV393246 VKH458781:VKV458782 VKH524317:VKV524318 VKH589853:VKV589854 VKH655389:VKV655390 VKH720925:VKV720926 VKH786461:VKV786462 VKH851997:VKV851998 VKH917533:VKV917534 VKH983069:VKV983070 VUD29:VUR30 VUD65565:VUR65566 VUD131101:VUR131102 VUD196637:VUR196638 VUD262173:VUR262174 VUD327709:VUR327710 VUD393245:VUR393246 VUD458781:VUR458782 VUD524317:VUR524318 VUD589853:VUR589854 VUD655389:VUR655390 VUD720925:VUR720926 VUD786461:VUR786462 VUD851997:VUR851998 VUD917533:VUR917534 VUD983069:VUR983070 WDZ29:WEN30 WDZ65565:WEN65566 WDZ131101:WEN131102 WDZ196637:WEN196638 WDZ262173:WEN262174 WDZ327709:WEN327710 WDZ393245:WEN393246 WDZ458781:WEN458782 WDZ524317:WEN524318 WDZ589853:WEN589854 WDZ655389:WEN655390 WDZ720925:WEN720926 WDZ786461:WEN786462 WDZ851997:WEN851998 WDZ917533:WEN917534 WDZ983069:WEN983070 WNV29:WOJ30 WNV65565:WOJ65566 WNV131101:WOJ131102 WNV196637:WOJ196638 WNV262173:WOJ262174 WNV327709:WOJ327710 WNV393245:WOJ393246 WNV458781:WOJ458782 WNV524317:WOJ524318 WNV589853:WOJ589854 WNV655389:WOJ655390 WNV720925:WOJ720926 WNV786461:WOJ786462 WNV851997:WOJ851998 WNV917533:WOJ917534 WNV983069:WOJ983070 WXR29:WYF30 WXR65565:WYF65566 WXR131101:WYF131102 WXR196637:WYF196638 WXR262173:WYF262174 WXR327709:WYF327710 WXR393245:WYF393246 WXR458781:WYF458782 WXR524317:WYF524318 WXR589853:WYF589854 WXR655389:WYF655390 WXR720925:WYF720926 WXR786461:WYF786462 WXR851997:WYF851998 WXR917533:WYF917534 WXR983069:WYF983070" xr:uid="{00000000-0002-0000-0A00-000006000000}">
      <formula1>"　,完了検査"</formula1>
    </dataValidation>
  </dataValidations>
  <hyperlinks>
    <hyperlink ref="C5:K7" location="入力のルール!A1" display="入力のルール" xr:uid="{00000000-0004-0000-0A00-000000000000}"/>
    <hyperlink ref="W5:AE7" location="リスト_2!A1" display="リスト2" xr:uid="{00000000-0004-0000-0A00-000001000000}"/>
    <hyperlink ref="AG5:AO7" location="提出書類一覧!A1" display="提出書類一覧" xr:uid="{00000000-0004-0000-0A00-000002000000}"/>
    <hyperlink ref="F15:Z16" location="郵送申請_確認申請・適合証明設計検査!A1" display="郵送申請（確認審査・適合証明設計検査）の提出票" xr:uid="{00000000-0004-0000-0A00-000003000000}"/>
    <hyperlink ref="F18:Q19" location="事前協議!A1" display="事前協議連絡票" xr:uid="{00000000-0004-0000-0A00-000004000000}"/>
    <hyperlink ref="F21:Q22" location="現地調査票!A1" display="現地調査票" xr:uid="{00000000-0004-0000-0A00-000005000000}"/>
    <hyperlink ref="F30:Q31" location="委任状!A1" display="委任状" xr:uid="{00000000-0004-0000-0A00-000006000000}"/>
    <hyperlink ref="F33:Q34" location="工事届!A1" display="工事届" xr:uid="{00000000-0004-0000-0A00-000007000000}"/>
    <hyperlink ref="F36:Q37" location="免除申請_確認・計変!A1" display="確認申請手数料免除申請書" xr:uid="{00000000-0004-0000-0A00-000008000000}"/>
    <hyperlink ref="H45:S46" location="既存不適格調書!A1" display="既存不適格調書" xr:uid="{00000000-0004-0000-0A00-000009000000}"/>
    <hyperlink ref="H48:S49" location="現況の調査書!A1" display="現況の調査書" xr:uid="{00000000-0004-0000-0A00-00000A000000}"/>
    <hyperlink ref="H51:S52" location="既存不適格法チェックリスト!A1" display="既存不適格法チェックリスト" xr:uid="{00000000-0004-0000-0A00-00000B000000}"/>
    <hyperlink ref="F62:S63" location="郵送申請_計画変更!A1" display="郵送申請（計画変更）の提出票" xr:uid="{00000000-0004-0000-0A00-00000C000000}"/>
    <hyperlink ref="F68:Q69" location="事前協議!A1" display="事前協議連絡票" xr:uid="{00000000-0004-0000-0A00-00000D000000}"/>
    <hyperlink ref="F71:Q72" location="委任状!A1" display="委任状" xr:uid="{00000000-0004-0000-0A00-00000E000000}"/>
    <hyperlink ref="F74:Q75" location="免除申請_確認・計変!A1" display="確認申請手数料免除申請書" xr:uid="{00000000-0004-0000-0A00-00000F000000}"/>
    <hyperlink ref="F85:Z86" location="郵送申請_完了!A1" display="郵送申請（完了検査・適合証明現場検査）の提出票" xr:uid="{00000000-0004-0000-0A00-000010000000}"/>
    <hyperlink ref="F88:Z89" location="検査予約票!A1" display="検査予約票（完了検査・適合証明現場検査）" xr:uid="{00000000-0004-0000-0A00-000011000000}"/>
    <hyperlink ref="F91:Z92" location="完了検査申請書!A1" display="完了検査申請書" xr:uid="{00000000-0004-0000-0A00-000012000000}"/>
    <hyperlink ref="F94:Z95" location="委任状!A1" display="委任状" xr:uid="{00000000-0004-0000-0A00-000013000000}"/>
    <hyperlink ref="F97:Z98" location="免除申請_完了!A1" display="完了検査申請手数料免除申請書" xr:uid="{00000000-0004-0000-0A00-000014000000}"/>
    <hyperlink ref="F108:T109" location="確認申請取下届!A1" display="確認申請取下届" xr:uid="{00000000-0004-0000-0A00-000015000000}"/>
    <hyperlink ref="F111:T112" location="記載事項変更等届!A1" display="記載事項変更等届" xr:uid="{00000000-0004-0000-0A00-000016000000}"/>
    <hyperlink ref="F117:T118" location="工事取りやめ届!A1" display="工事取りやめ届" xr:uid="{00000000-0004-0000-0A00-000017000000}"/>
    <hyperlink ref="F120:T121" location="完了検査申請取下届!A1" display="完了検査申請取下届" xr:uid="{00000000-0004-0000-0A00-000018000000}"/>
    <hyperlink ref="F123:T124" location="証明願!A1" display="証明願" xr:uid="{00000000-0004-0000-0A00-000019000000}"/>
    <hyperlink ref="F126:T127" location="再交付申請書!A1" display="確認済証・検査済証　再交付申請書" xr:uid="{00000000-0004-0000-0A00-00001A000000}"/>
  </hyperlinks>
  <pageMargins left="0.7" right="0.7" top="0.75" bottom="0.75" header="0.3" footer="0.3"/>
  <pageSetup paperSize="9" scale="44" fitToWidth="0"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0800-000007000000}">
          <xm:sqref>BJ15:BX22 LF15:LT22 VB15:VP22 AEX15:AFL22 AOT15:APH22 AYP15:AZD22 BIL15:BIZ22 BSH15:BSV22 CCD15:CCR22 CLZ15:CMN22 CVV15:CWJ22 DFR15:DGF22 DPN15:DQB22 DZJ15:DZX22 EJF15:EJT22 ETB15:ETP22 FCX15:FDL22 FMT15:FNH22 FWP15:FXD22 GGL15:GGZ22 GQH15:GQV22 HAD15:HAR22 HJZ15:HKN22 HTV15:HUJ22 IDR15:IEF22 INN15:IOB22 IXJ15:IXX22 JHF15:JHT22 JRB15:JRP22 KAX15:KBL22 KKT15:KLH22 KUP15:KVD22 LEL15:LEZ22 LOH15:LOV22 LYD15:LYR22 MHZ15:MIN22 MRV15:MSJ22 NBR15:NCF22 NLN15:NMB22 NVJ15:NVX22 OFF15:OFT22 OPB15:OPP22 OYX15:OZL22 PIT15:PJH22 PSP15:PTD22 QCL15:QCZ22 QMH15:QMV22 QWD15:QWR22 RFZ15:RGN22 RPV15:RQJ22 RZR15:SAF22 SJN15:SKB22 STJ15:STX22 TDF15:TDT22 TNB15:TNP22 TWX15:TXL22 UGT15:UHH22 UQP15:URD22 VAL15:VAZ22 VKH15:VKV22 VUD15:VUR22 WDZ15:WEN22 WNV15:WOJ22 WXR15:WYF22 BJ65551:BX65558 LF65551:LT65558 VB65551:VP65558 AEX65551:AFL65558 AOT65551:APH65558 AYP65551:AZD65558 BIL65551:BIZ65558 BSH65551:BSV65558 CCD65551:CCR65558 CLZ65551:CMN65558 CVV65551:CWJ65558 DFR65551:DGF65558 DPN65551:DQB65558 DZJ65551:DZX65558 EJF65551:EJT65558 ETB65551:ETP65558 FCX65551:FDL65558 FMT65551:FNH65558 FWP65551:FXD65558 GGL65551:GGZ65558 GQH65551:GQV65558 HAD65551:HAR65558 HJZ65551:HKN65558 HTV65551:HUJ65558 IDR65551:IEF65558 INN65551:IOB65558 IXJ65551:IXX65558 JHF65551:JHT65558 JRB65551:JRP65558 KAX65551:KBL65558 KKT65551:KLH65558 KUP65551:KVD65558 LEL65551:LEZ65558 LOH65551:LOV65558 LYD65551:LYR65558 MHZ65551:MIN65558 MRV65551:MSJ65558 NBR65551:NCF65558 NLN65551:NMB65558 NVJ65551:NVX65558 OFF65551:OFT65558 OPB65551:OPP65558 OYX65551:OZL65558 PIT65551:PJH65558 PSP65551:PTD65558 QCL65551:QCZ65558 QMH65551:QMV65558 QWD65551:QWR65558 RFZ65551:RGN65558 RPV65551:RQJ65558 RZR65551:SAF65558 SJN65551:SKB65558 STJ65551:STX65558 TDF65551:TDT65558 TNB65551:TNP65558 TWX65551:TXL65558 UGT65551:UHH65558 UQP65551:URD65558 VAL65551:VAZ65558 VKH65551:VKV65558 VUD65551:VUR65558 WDZ65551:WEN65558 WNV65551:WOJ65558 WXR65551:WYF65558 BJ131087:BX131094 LF131087:LT131094 VB131087:VP131094 AEX131087:AFL131094 AOT131087:APH131094 AYP131087:AZD131094 BIL131087:BIZ131094 BSH131087:BSV131094 CCD131087:CCR131094 CLZ131087:CMN131094 CVV131087:CWJ131094 DFR131087:DGF131094 DPN131087:DQB131094 DZJ131087:DZX131094 EJF131087:EJT131094 ETB131087:ETP131094 FCX131087:FDL131094 FMT131087:FNH131094 FWP131087:FXD131094 GGL131087:GGZ131094 GQH131087:GQV131094 HAD131087:HAR131094 HJZ131087:HKN131094 HTV131087:HUJ131094 IDR131087:IEF131094 INN131087:IOB131094 IXJ131087:IXX131094 JHF131087:JHT131094 JRB131087:JRP131094 KAX131087:KBL131094 KKT131087:KLH131094 KUP131087:KVD131094 LEL131087:LEZ131094 LOH131087:LOV131094 LYD131087:LYR131094 MHZ131087:MIN131094 MRV131087:MSJ131094 NBR131087:NCF131094 NLN131087:NMB131094 NVJ131087:NVX131094 OFF131087:OFT131094 OPB131087:OPP131094 OYX131087:OZL131094 PIT131087:PJH131094 PSP131087:PTD131094 QCL131087:QCZ131094 QMH131087:QMV131094 QWD131087:QWR131094 RFZ131087:RGN131094 RPV131087:RQJ131094 RZR131087:SAF131094 SJN131087:SKB131094 STJ131087:STX131094 TDF131087:TDT131094 TNB131087:TNP131094 TWX131087:TXL131094 UGT131087:UHH131094 UQP131087:URD131094 VAL131087:VAZ131094 VKH131087:VKV131094 VUD131087:VUR131094 WDZ131087:WEN131094 WNV131087:WOJ131094 WXR131087:WYF131094 BJ196623:BX196630 LF196623:LT196630 VB196623:VP196630 AEX196623:AFL196630 AOT196623:APH196630 AYP196623:AZD196630 BIL196623:BIZ196630 BSH196623:BSV196630 CCD196623:CCR196630 CLZ196623:CMN196630 CVV196623:CWJ196630 DFR196623:DGF196630 DPN196623:DQB196630 DZJ196623:DZX196630 EJF196623:EJT196630 ETB196623:ETP196630 FCX196623:FDL196630 FMT196623:FNH196630 FWP196623:FXD196630 GGL196623:GGZ196630 GQH196623:GQV196630 HAD196623:HAR196630 HJZ196623:HKN196630 HTV196623:HUJ196630 IDR196623:IEF196630 INN196623:IOB196630 IXJ196623:IXX196630 JHF196623:JHT196630 JRB196623:JRP196630 KAX196623:KBL196630 KKT196623:KLH196630 KUP196623:KVD196630 LEL196623:LEZ196630 LOH196623:LOV196630 LYD196623:LYR196630 MHZ196623:MIN196630 MRV196623:MSJ196630 NBR196623:NCF196630 NLN196623:NMB196630 NVJ196623:NVX196630 OFF196623:OFT196630 OPB196623:OPP196630 OYX196623:OZL196630 PIT196623:PJH196630 PSP196623:PTD196630 QCL196623:QCZ196630 QMH196623:QMV196630 QWD196623:QWR196630 RFZ196623:RGN196630 RPV196623:RQJ196630 RZR196623:SAF196630 SJN196623:SKB196630 STJ196623:STX196630 TDF196623:TDT196630 TNB196623:TNP196630 TWX196623:TXL196630 UGT196623:UHH196630 UQP196623:URD196630 VAL196623:VAZ196630 VKH196623:VKV196630 VUD196623:VUR196630 WDZ196623:WEN196630 WNV196623:WOJ196630 WXR196623:WYF196630 BJ262159:BX262166 LF262159:LT262166 VB262159:VP262166 AEX262159:AFL262166 AOT262159:APH262166 AYP262159:AZD262166 BIL262159:BIZ262166 BSH262159:BSV262166 CCD262159:CCR262166 CLZ262159:CMN262166 CVV262159:CWJ262166 DFR262159:DGF262166 DPN262159:DQB262166 DZJ262159:DZX262166 EJF262159:EJT262166 ETB262159:ETP262166 FCX262159:FDL262166 FMT262159:FNH262166 FWP262159:FXD262166 GGL262159:GGZ262166 GQH262159:GQV262166 HAD262159:HAR262166 HJZ262159:HKN262166 HTV262159:HUJ262166 IDR262159:IEF262166 INN262159:IOB262166 IXJ262159:IXX262166 JHF262159:JHT262166 JRB262159:JRP262166 KAX262159:KBL262166 KKT262159:KLH262166 KUP262159:KVD262166 LEL262159:LEZ262166 LOH262159:LOV262166 LYD262159:LYR262166 MHZ262159:MIN262166 MRV262159:MSJ262166 NBR262159:NCF262166 NLN262159:NMB262166 NVJ262159:NVX262166 OFF262159:OFT262166 OPB262159:OPP262166 OYX262159:OZL262166 PIT262159:PJH262166 PSP262159:PTD262166 QCL262159:QCZ262166 QMH262159:QMV262166 QWD262159:QWR262166 RFZ262159:RGN262166 RPV262159:RQJ262166 RZR262159:SAF262166 SJN262159:SKB262166 STJ262159:STX262166 TDF262159:TDT262166 TNB262159:TNP262166 TWX262159:TXL262166 UGT262159:UHH262166 UQP262159:URD262166 VAL262159:VAZ262166 VKH262159:VKV262166 VUD262159:VUR262166 WDZ262159:WEN262166 WNV262159:WOJ262166 WXR262159:WYF262166 BJ327695:BX327702 LF327695:LT327702 VB327695:VP327702 AEX327695:AFL327702 AOT327695:APH327702 AYP327695:AZD327702 BIL327695:BIZ327702 BSH327695:BSV327702 CCD327695:CCR327702 CLZ327695:CMN327702 CVV327695:CWJ327702 DFR327695:DGF327702 DPN327695:DQB327702 DZJ327695:DZX327702 EJF327695:EJT327702 ETB327695:ETP327702 FCX327695:FDL327702 FMT327695:FNH327702 FWP327695:FXD327702 GGL327695:GGZ327702 GQH327695:GQV327702 HAD327695:HAR327702 HJZ327695:HKN327702 HTV327695:HUJ327702 IDR327695:IEF327702 INN327695:IOB327702 IXJ327695:IXX327702 JHF327695:JHT327702 JRB327695:JRP327702 KAX327695:KBL327702 KKT327695:KLH327702 KUP327695:KVD327702 LEL327695:LEZ327702 LOH327695:LOV327702 LYD327695:LYR327702 MHZ327695:MIN327702 MRV327695:MSJ327702 NBR327695:NCF327702 NLN327695:NMB327702 NVJ327695:NVX327702 OFF327695:OFT327702 OPB327695:OPP327702 OYX327695:OZL327702 PIT327695:PJH327702 PSP327695:PTD327702 QCL327695:QCZ327702 QMH327695:QMV327702 QWD327695:QWR327702 RFZ327695:RGN327702 RPV327695:RQJ327702 RZR327695:SAF327702 SJN327695:SKB327702 STJ327695:STX327702 TDF327695:TDT327702 TNB327695:TNP327702 TWX327695:TXL327702 UGT327695:UHH327702 UQP327695:URD327702 VAL327695:VAZ327702 VKH327695:VKV327702 VUD327695:VUR327702 WDZ327695:WEN327702 WNV327695:WOJ327702 WXR327695:WYF327702 BJ393231:BX393238 LF393231:LT393238 VB393231:VP393238 AEX393231:AFL393238 AOT393231:APH393238 AYP393231:AZD393238 BIL393231:BIZ393238 BSH393231:BSV393238 CCD393231:CCR393238 CLZ393231:CMN393238 CVV393231:CWJ393238 DFR393231:DGF393238 DPN393231:DQB393238 DZJ393231:DZX393238 EJF393231:EJT393238 ETB393231:ETP393238 FCX393231:FDL393238 FMT393231:FNH393238 FWP393231:FXD393238 GGL393231:GGZ393238 GQH393231:GQV393238 HAD393231:HAR393238 HJZ393231:HKN393238 HTV393231:HUJ393238 IDR393231:IEF393238 INN393231:IOB393238 IXJ393231:IXX393238 JHF393231:JHT393238 JRB393231:JRP393238 KAX393231:KBL393238 KKT393231:KLH393238 KUP393231:KVD393238 LEL393231:LEZ393238 LOH393231:LOV393238 LYD393231:LYR393238 MHZ393231:MIN393238 MRV393231:MSJ393238 NBR393231:NCF393238 NLN393231:NMB393238 NVJ393231:NVX393238 OFF393231:OFT393238 OPB393231:OPP393238 OYX393231:OZL393238 PIT393231:PJH393238 PSP393231:PTD393238 QCL393231:QCZ393238 QMH393231:QMV393238 QWD393231:QWR393238 RFZ393231:RGN393238 RPV393231:RQJ393238 RZR393231:SAF393238 SJN393231:SKB393238 STJ393231:STX393238 TDF393231:TDT393238 TNB393231:TNP393238 TWX393231:TXL393238 UGT393231:UHH393238 UQP393231:URD393238 VAL393231:VAZ393238 VKH393231:VKV393238 VUD393231:VUR393238 WDZ393231:WEN393238 WNV393231:WOJ393238 WXR393231:WYF393238 BJ458767:BX458774 LF458767:LT458774 VB458767:VP458774 AEX458767:AFL458774 AOT458767:APH458774 AYP458767:AZD458774 BIL458767:BIZ458774 BSH458767:BSV458774 CCD458767:CCR458774 CLZ458767:CMN458774 CVV458767:CWJ458774 DFR458767:DGF458774 DPN458767:DQB458774 DZJ458767:DZX458774 EJF458767:EJT458774 ETB458767:ETP458774 FCX458767:FDL458774 FMT458767:FNH458774 FWP458767:FXD458774 GGL458767:GGZ458774 GQH458767:GQV458774 HAD458767:HAR458774 HJZ458767:HKN458774 HTV458767:HUJ458774 IDR458767:IEF458774 INN458767:IOB458774 IXJ458767:IXX458774 JHF458767:JHT458774 JRB458767:JRP458774 KAX458767:KBL458774 KKT458767:KLH458774 KUP458767:KVD458774 LEL458767:LEZ458774 LOH458767:LOV458774 LYD458767:LYR458774 MHZ458767:MIN458774 MRV458767:MSJ458774 NBR458767:NCF458774 NLN458767:NMB458774 NVJ458767:NVX458774 OFF458767:OFT458774 OPB458767:OPP458774 OYX458767:OZL458774 PIT458767:PJH458774 PSP458767:PTD458774 QCL458767:QCZ458774 QMH458767:QMV458774 QWD458767:QWR458774 RFZ458767:RGN458774 RPV458767:RQJ458774 RZR458767:SAF458774 SJN458767:SKB458774 STJ458767:STX458774 TDF458767:TDT458774 TNB458767:TNP458774 TWX458767:TXL458774 UGT458767:UHH458774 UQP458767:URD458774 VAL458767:VAZ458774 VKH458767:VKV458774 VUD458767:VUR458774 WDZ458767:WEN458774 WNV458767:WOJ458774 WXR458767:WYF458774 BJ524303:BX524310 LF524303:LT524310 VB524303:VP524310 AEX524303:AFL524310 AOT524303:APH524310 AYP524303:AZD524310 BIL524303:BIZ524310 BSH524303:BSV524310 CCD524303:CCR524310 CLZ524303:CMN524310 CVV524303:CWJ524310 DFR524303:DGF524310 DPN524303:DQB524310 DZJ524303:DZX524310 EJF524303:EJT524310 ETB524303:ETP524310 FCX524303:FDL524310 FMT524303:FNH524310 FWP524303:FXD524310 GGL524303:GGZ524310 GQH524303:GQV524310 HAD524303:HAR524310 HJZ524303:HKN524310 HTV524303:HUJ524310 IDR524303:IEF524310 INN524303:IOB524310 IXJ524303:IXX524310 JHF524303:JHT524310 JRB524303:JRP524310 KAX524303:KBL524310 KKT524303:KLH524310 KUP524303:KVD524310 LEL524303:LEZ524310 LOH524303:LOV524310 LYD524303:LYR524310 MHZ524303:MIN524310 MRV524303:MSJ524310 NBR524303:NCF524310 NLN524303:NMB524310 NVJ524303:NVX524310 OFF524303:OFT524310 OPB524303:OPP524310 OYX524303:OZL524310 PIT524303:PJH524310 PSP524303:PTD524310 QCL524303:QCZ524310 QMH524303:QMV524310 QWD524303:QWR524310 RFZ524303:RGN524310 RPV524303:RQJ524310 RZR524303:SAF524310 SJN524303:SKB524310 STJ524303:STX524310 TDF524303:TDT524310 TNB524303:TNP524310 TWX524303:TXL524310 UGT524303:UHH524310 UQP524303:URD524310 VAL524303:VAZ524310 VKH524303:VKV524310 VUD524303:VUR524310 WDZ524303:WEN524310 WNV524303:WOJ524310 WXR524303:WYF524310 BJ589839:BX589846 LF589839:LT589846 VB589839:VP589846 AEX589839:AFL589846 AOT589839:APH589846 AYP589839:AZD589846 BIL589839:BIZ589846 BSH589839:BSV589846 CCD589839:CCR589846 CLZ589839:CMN589846 CVV589839:CWJ589846 DFR589839:DGF589846 DPN589839:DQB589846 DZJ589839:DZX589846 EJF589839:EJT589846 ETB589839:ETP589846 FCX589839:FDL589846 FMT589839:FNH589846 FWP589839:FXD589846 GGL589839:GGZ589846 GQH589839:GQV589846 HAD589839:HAR589846 HJZ589839:HKN589846 HTV589839:HUJ589846 IDR589839:IEF589846 INN589839:IOB589846 IXJ589839:IXX589846 JHF589839:JHT589846 JRB589839:JRP589846 KAX589839:KBL589846 KKT589839:KLH589846 KUP589839:KVD589846 LEL589839:LEZ589846 LOH589839:LOV589846 LYD589839:LYR589846 MHZ589839:MIN589846 MRV589839:MSJ589846 NBR589839:NCF589846 NLN589839:NMB589846 NVJ589839:NVX589846 OFF589839:OFT589846 OPB589839:OPP589846 OYX589839:OZL589846 PIT589839:PJH589846 PSP589839:PTD589846 QCL589839:QCZ589846 QMH589839:QMV589846 QWD589839:QWR589846 RFZ589839:RGN589846 RPV589839:RQJ589846 RZR589839:SAF589846 SJN589839:SKB589846 STJ589839:STX589846 TDF589839:TDT589846 TNB589839:TNP589846 TWX589839:TXL589846 UGT589839:UHH589846 UQP589839:URD589846 VAL589839:VAZ589846 VKH589839:VKV589846 VUD589839:VUR589846 WDZ589839:WEN589846 WNV589839:WOJ589846 WXR589839:WYF589846 BJ655375:BX655382 LF655375:LT655382 VB655375:VP655382 AEX655375:AFL655382 AOT655375:APH655382 AYP655375:AZD655382 BIL655375:BIZ655382 BSH655375:BSV655382 CCD655375:CCR655382 CLZ655375:CMN655382 CVV655375:CWJ655382 DFR655375:DGF655382 DPN655375:DQB655382 DZJ655375:DZX655382 EJF655375:EJT655382 ETB655375:ETP655382 FCX655375:FDL655382 FMT655375:FNH655382 FWP655375:FXD655382 GGL655375:GGZ655382 GQH655375:GQV655382 HAD655375:HAR655382 HJZ655375:HKN655382 HTV655375:HUJ655382 IDR655375:IEF655382 INN655375:IOB655382 IXJ655375:IXX655382 JHF655375:JHT655382 JRB655375:JRP655382 KAX655375:KBL655382 KKT655375:KLH655382 KUP655375:KVD655382 LEL655375:LEZ655382 LOH655375:LOV655382 LYD655375:LYR655382 MHZ655375:MIN655382 MRV655375:MSJ655382 NBR655375:NCF655382 NLN655375:NMB655382 NVJ655375:NVX655382 OFF655375:OFT655382 OPB655375:OPP655382 OYX655375:OZL655382 PIT655375:PJH655382 PSP655375:PTD655382 QCL655375:QCZ655382 QMH655375:QMV655382 QWD655375:QWR655382 RFZ655375:RGN655382 RPV655375:RQJ655382 RZR655375:SAF655382 SJN655375:SKB655382 STJ655375:STX655382 TDF655375:TDT655382 TNB655375:TNP655382 TWX655375:TXL655382 UGT655375:UHH655382 UQP655375:URD655382 VAL655375:VAZ655382 VKH655375:VKV655382 VUD655375:VUR655382 WDZ655375:WEN655382 WNV655375:WOJ655382 WXR655375:WYF655382 BJ720911:BX720918 LF720911:LT720918 VB720911:VP720918 AEX720911:AFL720918 AOT720911:APH720918 AYP720911:AZD720918 BIL720911:BIZ720918 BSH720911:BSV720918 CCD720911:CCR720918 CLZ720911:CMN720918 CVV720911:CWJ720918 DFR720911:DGF720918 DPN720911:DQB720918 DZJ720911:DZX720918 EJF720911:EJT720918 ETB720911:ETP720918 FCX720911:FDL720918 FMT720911:FNH720918 FWP720911:FXD720918 GGL720911:GGZ720918 GQH720911:GQV720918 HAD720911:HAR720918 HJZ720911:HKN720918 HTV720911:HUJ720918 IDR720911:IEF720918 INN720911:IOB720918 IXJ720911:IXX720918 JHF720911:JHT720918 JRB720911:JRP720918 KAX720911:KBL720918 KKT720911:KLH720918 KUP720911:KVD720918 LEL720911:LEZ720918 LOH720911:LOV720918 LYD720911:LYR720918 MHZ720911:MIN720918 MRV720911:MSJ720918 NBR720911:NCF720918 NLN720911:NMB720918 NVJ720911:NVX720918 OFF720911:OFT720918 OPB720911:OPP720918 OYX720911:OZL720918 PIT720911:PJH720918 PSP720911:PTD720918 QCL720911:QCZ720918 QMH720911:QMV720918 QWD720911:QWR720918 RFZ720911:RGN720918 RPV720911:RQJ720918 RZR720911:SAF720918 SJN720911:SKB720918 STJ720911:STX720918 TDF720911:TDT720918 TNB720911:TNP720918 TWX720911:TXL720918 UGT720911:UHH720918 UQP720911:URD720918 VAL720911:VAZ720918 VKH720911:VKV720918 VUD720911:VUR720918 WDZ720911:WEN720918 WNV720911:WOJ720918 WXR720911:WYF720918 BJ786447:BX786454 LF786447:LT786454 VB786447:VP786454 AEX786447:AFL786454 AOT786447:APH786454 AYP786447:AZD786454 BIL786447:BIZ786454 BSH786447:BSV786454 CCD786447:CCR786454 CLZ786447:CMN786454 CVV786447:CWJ786454 DFR786447:DGF786454 DPN786447:DQB786454 DZJ786447:DZX786454 EJF786447:EJT786454 ETB786447:ETP786454 FCX786447:FDL786454 FMT786447:FNH786454 FWP786447:FXD786454 GGL786447:GGZ786454 GQH786447:GQV786454 HAD786447:HAR786454 HJZ786447:HKN786454 HTV786447:HUJ786454 IDR786447:IEF786454 INN786447:IOB786454 IXJ786447:IXX786454 JHF786447:JHT786454 JRB786447:JRP786454 KAX786447:KBL786454 KKT786447:KLH786454 KUP786447:KVD786454 LEL786447:LEZ786454 LOH786447:LOV786454 LYD786447:LYR786454 MHZ786447:MIN786454 MRV786447:MSJ786454 NBR786447:NCF786454 NLN786447:NMB786454 NVJ786447:NVX786454 OFF786447:OFT786454 OPB786447:OPP786454 OYX786447:OZL786454 PIT786447:PJH786454 PSP786447:PTD786454 QCL786447:QCZ786454 QMH786447:QMV786454 QWD786447:QWR786454 RFZ786447:RGN786454 RPV786447:RQJ786454 RZR786447:SAF786454 SJN786447:SKB786454 STJ786447:STX786454 TDF786447:TDT786454 TNB786447:TNP786454 TWX786447:TXL786454 UGT786447:UHH786454 UQP786447:URD786454 VAL786447:VAZ786454 VKH786447:VKV786454 VUD786447:VUR786454 WDZ786447:WEN786454 WNV786447:WOJ786454 WXR786447:WYF786454 BJ851983:BX851990 LF851983:LT851990 VB851983:VP851990 AEX851983:AFL851990 AOT851983:APH851990 AYP851983:AZD851990 BIL851983:BIZ851990 BSH851983:BSV851990 CCD851983:CCR851990 CLZ851983:CMN851990 CVV851983:CWJ851990 DFR851983:DGF851990 DPN851983:DQB851990 DZJ851983:DZX851990 EJF851983:EJT851990 ETB851983:ETP851990 FCX851983:FDL851990 FMT851983:FNH851990 FWP851983:FXD851990 GGL851983:GGZ851990 GQH851983:GQV851990 HAD851983:HAR851990 HJZ851983:HKN851990 HTV851983:HUJ851990 IDR851983:IEF851990 INN851983:IOB851990 IXJ851983:IXX851990 JHF851983:JHT851990 JRB851983:JRP851990 KAX851983:KBL851990 KKT851983:KLH851990 KUP851983:KVD851990 LEL851983:LEZ851990 LOH851983:LOV851990 LYD851983:LYR851990 MHZ851983:MIN851990 MRV851983:MSJ851990 NBR851983:NCF851990 NLN851983:NMB851990 NVJ851983:NVX851990 OFF851983:OFT851990 OPB851983:OPP851990 OYX851983:OZL851990 PIT851983:PJH851990 PSP851983:PTD851990 QCL851983:QCZ851990 QMH851983:QMV851990 QWD851983:QWR851990 RFZ851983:RGN851990 RPV851983:RQJ851990 RZR851983:SAF851990 SJN851983:SKB851990 STJ851983:STX851990 TDF851983:TDT851990 TNB851983:TNP851990 TWX851983:TXL851990 UGT851983:UHH851990 UQP851983:URD851990 VAL851983:VAZ851990 VKH851983:VKV851990 VUD851983:VUR851990 WDZ851983:WEN851990 WNV851983:WOJ851990 WXR851983:WYF851990 BJ917519:BX917526 LF917519:LT917526 VB917519:VP917526 AEX917519:AFL917526 AOT917519:APH917526 AYP917519:AZD917526 BIL917519:BIZ917526 BSH917519:BSV917526 CCD917519:CCR917526 CLZ917519:CMN917526 CVV917519:CWJ917526 DFR917519:DGF917526 DPN917519:DQB917526 DZJ917519:DZX917526 EJF917519:EJT917526 ETB917519:ETP917526 FCX917519:FDL917526 FMT917519:FNH917526 FWP917519:FXD917526 GGL917519:GGZ917526 GQH917519:GQV917526 HAD917519:HAR917526 HJZ917519:HKN917526 HTV917519:HUJ917526 IDR917519:IEF917526 INN917519:IOB917526 IXJ917519:IXX917526 JHF917519:JHT917526 JRB917519:JRP917526 KAX917519:KBL917526 KKT917519:KLH917526 KUP917519:KVD917526 LEL917519:LEZ917526 LOH917519:LOV917526 LYD917519:LYR917526 MHZ917519:MIN917526 MRV917519:MSJ917526 NBR917519:NCF917526 NLN917519:NMB917526 NVJ917519:NVX917526 OFF917519:OFT917526 OPB917519:OPP917526 OYX917519:OZL917526 PIT917519:PJH917526 PSP917519:PTD917526 QCL917519:QCZ917526 QMH917519:QMV917526 QWD917519:QWR917526 RFZ917519:RGN917526 RPV917519:RQJ917526 RZR917519:SAF917526 SJN917519:SKB917526 STJ917519:STX917526 TDF917519:TDT917526 TNB917519:TNP917526 TWX917519:TXL917526 UGT917519:UHH917526 UQP917519:URD917526 VAL917519:VAZ917526 VKH917519:VKV917526 VUD917519:VUR917526 WDZ917519:WEN917526 WNV917519:WOJ917526 WXR917519:WYF917526 BJ983055:BX983062 LF983055:LT983062 VB983055:VP983062 AEX983055:AFL983062 AOT983055:APH983062 AYP983055:AZD983062 BIL983055:BIZ983062 BSH983055:BSV983062 CCD983055:CCR983062 CLZ983055:CMN983062 CVV983055:CWJ983062 DFR983055:DGF983062 DPN983055:DQB983062 DZJ983055:DZX983062 EJF983055:EJT983062 ETB983055:ETP983062 FCX983055:FDL983062 FMT983055:FNH983062 FWP983055:FXD983062 GGL983055:GGZ983062 GQH983055:GQV983062 HAD983055:HAR983062 HJZ983055:HKN983062 HTV983055:HUJ983062 IDR983055:IEF983062 INN983055:IOB983062 IXJ983055:IXX983062 JHF983055:JHT983062 JRB983055:JRP983062 KAX983055:KBL983062 KKT983055:KLH983062 KUP983055:KVD983062 LEL983055:LEZ983062 LOH983055:LOV983062 LYD983055:LYR983062 MHZ983055:MIN983062 MRV983055:MSJ983062 NBR983055:NCF983062 NLN983055:NMB983062 NVJ983055:NVX983062 OFF983055:OFT983062 OPB983055:OPP983062 OYX983055:OZL983062 PIT983055:PJH983062 PSP983055:PTD983062 QCL983055:QCZ983062 QMH983055:QMV983062 QWD983055:QWR983062 RFZ983055:RGN983062 RPV983055:RQJ983062 RZR983055:SAF983062 SJN983055:SKB983062 STJ983055:STX983062 TDF983055:TDT983062 TNB983055:TNP983062 TWX983055:TXL983062 UGT983055:UHH983062 UQP983055:URD983062 VAL983055:VAZ983062 VKH983055:VKV983062 VUD983055:VUR983062 WDZ983055:WEN983062 WNV983055:WOJ983062 WXR983055:WYF983062 BJ25:BX28 LF25:LT28 VB25:VP28 AEX25:AFL28 AOT25:APH28 AYP25:AZD28 BIL25:BIZ28 BSH25:BSV28 CCD25:CCR28 CLZ25:CMN28 CVV25:CWJ28 DFR25:DGF28 DPN25:DQB28 DZJ25:DZX28 EJF25:EJT28 ETB25:ETP28 FCX25:FDL28 FMT25:FNH28 FWP25:FXD28 GGL25:GGZ28 GQH25:GQV28 HAD25:HAR28 HJZ25:HKN28 HTV25:HUJ28 IDR25:IEF28 INN25:IOB28 IXJ25:IXX28 JHF25:JHT28 JRB25:JRP28 KAX25:KBL28 KKT25:KLH28 KUP25:KVD28 LEL25:LEZ28 LOH25:LOV28 LYD25:LYR28 MHZ25:MIN28 MRV25:MSJ28 NBR25:NCF28 NLN25:NMB28 NVJ25:NVX28 OFF25:OFT28 OPB25:OPP28 OYX25:OZL28 PIT25:PJH28 PSP25:PTD28 QCL25:QCZ28 QMH25:QMV28 QWD25:QWR28 RFZ25:RGN28 RPV25:RQJ28 RZR25:SAF28 SJN25:SKB28 STJ25:STX28 TDF25:TDT28 TNB25:TNP28 TWX25:TXL28 UGT25:UHH28 UQP25:URD28 VAL25:VAZ28 VKH25:VKV28 VUD25:VUR28 WDZ25:WEN28 WNV25:WOJ28 WXR25:WYF28 BJ65561:BX65564 LF65561:LT65564 VB65561:VP65564 AEX65561:AFL65564 AOT65561:APH65564 AYP65561:AZD65564 BIL65561:BIZ65564 BSH65561:BSV65564 CCD65561:CCR65564 CLZ65561:CMN65564 CVV65561:CWJ65564 DFR65561:DGF65564 DPN65561:DQB65564 DZJ65561:DZX65564 EJF65561:EJT65564 ETB65561:ETP65564 FCX65561:FDL65564 FMT65561:FNH65564 FWP65561:FXD65564 GGL65561:GGZ65564 GQH65561:GQV65564 HAD65561:HAR65564 HJZ65561:HKN65564 HTV65561:HUJ65564 IDR65561:IEF65564 INN65561:IOB65564 IXJ65561:IXX65564 JHF65561:JHT65564 JRB65561:JRP65564 KAX65561:KBL65564 KKT65561:KLH65564 KUP65561:KVD65564 LEL65561:LEZ65564 LOH65561:LOV65564 LYD65561:LYR65564 MHZ65561:MIN65564 MRV65561:MSJ65564 NBR65561:NCF65564 NLN65561:NMB65564 NVJ65561:NVX65564 OFF65561:OFT65564 OPB65561:OPP65564 OYX65561:OZL65564 PIT65561:PJH65564 PSP65561:PTD65564 QCL65561:QCZ65564 QMH65561:QMV65564 QWD65561:QWR65564 RFZ65561:RGN65564 RPV65561:RQJ65564 RZR65561:SAF65564 SJN65561:SKB65564 STJ65561:STX65564 TDF65561:TDT65564 TNB65561:TNP65564 TWX65561:TXL65564 UGT65561:UHH65564 UQP65561:URD65564 VAL65561:VAZ65564 VKH65561:VKV65564 VUD65561:VUR65564 WDZ65561:WEN65564 WNV65561:WOJ65564 WXR65561:WYF65564 BJ131097:BX131100 LF131097:LT131100 VB131097:VP131100 AEX131097:AFL131100 AOT131097:APH131100 AYP131097:AZD131100 BIL131097:BIZ131100 BSH131097:BSV131100 CCD131097:CCR131100 CLZ131097:CMN131100 CVV131097:CWJ131100 DFR131097:DGF131100 DPN131097:DQB131100 DZJ131097:DZX131100 EJF131097:EJT131100 ETB131097:ETP131100 FCX131097:FDL131100 FMT131097:FNH131100 FWP131097:FXD131100 GGL131097:GGZ131100 GQH131097:GQV131100 HAD131097:HAR131100 HJZ131097:HKN131100 HTV131097:HUJ131100 IDR131097:IEF131100 INN131097:IOB131100 IXJ131097:IXX131100 JHF131097:JHT131100 JRB131097:JRP131100 KAX131097:KBL131100 KKT131097:KLH131100 KUP131097:KVD131100 LEL131097:LEZ131100 LOH131097:LOV131100 LYD131097:LYR131100 MHZ131097:MIN131100 MRV131097:MSJ131100 NBR131097:NCF131100 NLN131097:NMB131100 NVJ131097:NVX131100 OFF131097:OFT131100 OPB131097:OPP131100 OYX131097:OZL131100 PIT131097:PJH131100 PSP131097:PTD131100 QCL131097:QCZ131100 QMH131097:QMV131100 QWD131097:QWR131100 RFZ131097:RGN131100 RPV131097:RQJ131100 RZR131097:SAF131100 SJN131097:SKB131100 STJ131097:STX131100 TDF131097:TDT131100 TNB131097:TNP131100 TWX131097:TXL131100 UGT131097:UHH131100 UQP131097:URD131100 VAL131097:VAZ131100 VKH131097:VKV131100 VUD131097:VUR131100 WDZ131097:WEN131100 WNV131097:WOJ131100 WXR131097:WYF131100 BJ196633:BX196636 LF196633:LT196636 VB196633:VP196636 AEX196633:AFL196636 AOT196633:APH196636 AYP196633:AZD196636 BIL196633:BIZ196636 BSH196633:BSV196636 CCD196633:CCR196636 CLZ196633:CMN196636 CVV196633:CWJ196636 DFR196633:DGF196636 DPN196633:DQB196636 DZJ196633:DZX196636 EJF196633:EJT196636 ETB196633:ETP196636 FCX196633:FDL196636 FMT196633:FNH196636 FWP196633:FXD196636 GGL196633:GGZ196636 GQH196633:GQV196636 HAD196633:HAR196636 HJZ196633:HKN196636 HTV196633:HUJ196636 IDR196633:IEF196636 INN196633:IOB196636 IXJ196633:IXX196636 JHF196633:JHT196636 JRB196633:JRP196636 KAX196633:KBL196636 KKT196633:KLH196636 KUP196633:KVD196636 LEL196633:LEZ196636 LOH196633:LOV196636 LYD196633:LYR196636 MHZ196633:MIN196636 MRV196633:MSJ196636 NBR196633:NCF196636 NLN196633:NMB196636 NVJ196633:NVX196636 OFF196633:OFT196636 OPB196633:OPP196636 OYX196633:OZL196636 PIT196633:PJH196636 PSP196633:PTD196636 QCL196633:QCZ196636 QMH196633:QMV196636 QWD196633:QWR196636 RFZ196633:RGN196636 RPV196633:RQJ196636 RZR196633:SAF196636 SJN196633:SKB196636 STJ196633:STX196636 TDF196633:TDT196636 TNB196633:TNP196636 TWX196633:TXL196636 UGT196633:UHH196636 UQP196633:URD196636 VAL196633:VAZ196636 VKH196633:VKV196636 VUD196633:VUR196636 WDZ196633:WEN196636 WNV196633:WOJ196636 WXR196633:WYF196636 BJ262169:BX262172 LF262169:LT262172 VB262169:VP262172 AEX262169:AFL262172 AOT262169:APH262172 AYP262169:AZD262172 BIL262169:BIZ262172 BSH262169:BSV262172 CCD262169:CCR262172 CLZ262169:CMN262172 CVV262169:CWJ262172 DFR262169:DGF262172 DPN262169:DQB262172 DZJ262169:DZX262172 EJF262169:EJT262172 ETB262169:ETP262172 FCX262169:FDL262172 FMT262169:FNH262172 FWP262169:FXD262172 GGL262169:GGZ262172 GQH262169:GQV262172 HAD262169:HAR262172 HJZ262169:HKN262172 HTV262169:HUJ262172 IDR262169:IEF262172 INN262169:IOB262172 IXJ262169:IXX262172 JHF262169:JHT262172 JRB262169:JRP262172 KAX262169:KBL262172 KKT262169:KLH262172 KUP262169:KVD262172 LEL262169:LEZ262172 LOH262169:LOV262172 LYD262169:LYR262172 MHZ262169:MIN262172 MRV262169:MSJ262172 NBR262169:NCF262172 NLN262169:NMB262172 NVJ262169:NVX262172 OFF262169:OFT262172 OPB262169:OPP262172 OYX262169:OZL262172 PIT262169:PJH262172 PSP262169:PTD262172 QCL262169:QCZ262172 QMH262169:QMV262172 QWD262169:QWR262172 RFZ262169:RGN262172 RPV262169:RQJ262172 RZR262169:SAF262172 SJN262169:SKB262172 STJ262169:STX262172 TDF262169:TDT262172 TNB262169:TNP262172 TWX262169:TXL262172 UGT262169:UHH262172 UQP262169:URD262172 VAL262169:VAZ262172 VKH262169:VKV262172 VUD262169:VUR262172 WDZ262169:WEN262172 WNV262169:WOJ262172 WXR262169:WYF262172 BJ327705:BX327708 LF327705:LT327708 VB327705:VP327708 AEX327705:AFL327708 AOT327705:APH327708 AYP327705:AZD327708 BIL327705:BIZ327708 BSH327705:BSV327708 CCD327705:CCR327708 CLZ327705:CMN327708 CVV327705:CWJ327708 DFR327705:DGF327708 DPN327705:DQB327708 DZJ327705:DZX327708 EJF327705:EJT327708 ETB327705:ETP327708 FCX327705:FDL327708 FMT327705:FNH327708 FWP327705:FXD327708 GGL327705:GGZ327708 GQH327705:GQV327708 HAD327705:HAR327708 HJZ327705:HKN327708 HTV327705:HUJ327708 IDR327705:IEF327708 INN327705:IOB327708 IXJ327705:IXX327708 JHF327705:JHT327708 JRB327705:JRP327708 KAX327705:KBL327708 KKT327705:KLH327708 KUP327705:KVD327708 LEL327705:LEZ327708 LOH327705:LOV327708 LYD327705:LYR327708 MHZ327705:MIN327708 MRV327705:MSJ327708 NBR327705:NCF327708 NLN327705:NMB327708 NVJ327705:NVX327708 OFF327705:OFT327708 OPB327705:OPP327708 OYX327705:OZL327708 PIT327705:PJH327708 PSP327705:PTD327708 QCL327705:QCZ327708 QMH327705:QMV327708 QWD327705:QWR327708 RFZ327705:RGN327708 RPV327705:RQJ327708 RZR327705:SAF327708 SJN327705:SKB327708 STJ327705:STX327708 TDF327705:TDT327708 TNB327705:TNP327708 TWX327705:TXL327708 UGT327705:UHH327708 UQP327705:URD327708 VAL327705:VAZ327708 VKH327705:VKV327708 VUD327705:VUR327708 WDZ327705:WEN327708 WNV327705:WOJ327708 WXR327705:WYF327708 BJ393241:BX393244 LF393241:LT393244 VB393241:VP393244 AEX393241:AFL393244 AOT393241:APH393244 AYP393241:AZD393244 BIL393241:BIZ393244 BSH393241:BSV393244 CCD393241:CCR393244 CLZ393241:CMN393244 CVV393241:CWJ393244 DFR393241:DGF393244 DPN393241:DQB393244 DZJ393241:DZX393244 EJF393241:EJT393244 ETB393241:ETP393244 FCX393241:FDL393244 FMT393241:FNH393244 FWP393241:FXD393244 GGL393241:GGZ393244 GQH393241:GQV393244 HAD393241:HAR393244 HJZ393241:HKN393244 HTV393241:HUJ393244 IDR393241:IEF393244 INN393241:IOB393244 IXJ393241:IXX393244 JHF393241:JHT393244 JRB393241:JRP393244 KAX393241:KBL393244 KKT393241:KLH393244 KUP393241:KVD393244 LEL393241:LEZ393244 LOH393241:LOV393244 LYD393241:LYR393244 MHZ393241:MIN393244 MRV393241:MSJ393244 NBR393241:NCF393244 NLN393241:NMB393244 NVJ393241:NVX393244 OFF393241:OFT393244 OPB393241:OPP393244 OYX393241:OZL393244 PIT393241:PJH393244 PSP393241:PTD393244 QCL393241:QCZ393244 QMH393241:QMV393244 QWD393241:QWR393244 RFZ393241:RGN393244 RPV393241:RQJ393244 RZR393241:SAF393244 SJN393241:SKB393244 STJ393241:STX393244 TDF393241:TDT393244 TNB393241:TNP393244 TWX393241:TXL393244 UGT393241:UHH393244 UQP393241:URD393244 VAL393241:VAZ393244 VKH393241:VKV393244 VUD393241:VUR393244 WDZ393241:WEN393244 WNV393241:WOJ393244 WXR393241:WYF393244 BJ458777:BX458780 LF458777:LT458780 VB458777:VP458780 AEX458777:AFL458780 AOT458777:APH458780 AYP458777:AZD458780 BIL458777:BIZ458780 BSH458777:BSV458780 CCD458777:CCR458780 CLZ458777:CMN458780 CVV458777:CWJ458780 DFR458777:DGF458780 DPN458777:DQB458780 DZJ458777:DZX458780 EJF458777:EJT458780 ETB458777:ETP458780 FCX458777:FDL458780 FMT458777:FNH458780 FWP458777:FXD458780 GGL458777:GGZ458780 GQH458777:GQV458780 HAD458777:HAR458780 HJZ458777:HKN458780 HTV458777:HUJ458780 IDR458777:IEF458780 INN458777:IOB458780 IXJ458777:IXX458780 JHF458777:JHT458780 JRB458777:JRP458780 KAX458777:KBL458780 KKT458777:KLH458780 KUP458777:KVD458780 LEL458777:LEZ458780 LOH458777:LOV458780 LYD458777:LYR458780 MHZ458777:MIN458780 MRV458777:MSJ458780 NBR458777:NCF458780 NLN458777:NMB458780 NVJ458777:NVX458780 OFF458777:OFT458780 OPB458777:OPP458780 OYX458777:OZL458780 PIT458777:PJH458780 PSP458777:PTD458780 QCL458777:QCZ458780 QMH458777:QMV458780 QWD458777:QWR458780 RFZ458777:RGN458780 RPV458777:RQJ458780 RZR458777:SAF458780 SJN458777:SKB458780 STJ458777:STX458780 TDF458777:TDT458780 TNB458777:TNP458780 TWX458777:TXL458780 UGT458777:UHH458780 UQP458777:URD458780 VAL458777:VAZ458780 VKH458777:VKV458780 VUD458777:VUR458780 WDZ458777:WEN458780 WNV458777:WOJ458780 WXR458777:WYF458780 BJ524313:BX524316 LF524313:LT524316 VB524313:VP524316 AEX524313:AFL524316 AOT524313:APH524316 AYP524313:AZD524316 BIL524313:BIZ524316 BSH524313:BSV524316 CCD524313:CCR524316 CLZ524313:CMN524316 CVV524313:CWJ524316 DFR524313:DGF524316 DPN524313:DQB524316 DZJ524313:DZX524316 EJF524313:EJT524316 ETB524313:ETP524316 FCX524313:FDL524316 FMT524313:FNH524316 FWP524313:FXD524316 GGL524313:GGZ524316 GQH524313:GQV524316 HAD524313:HAR524316 HJZ524313:HKN524316 HTV524313:HUJ524316 IDR524313:IEF524316 INN524313:IOB524316 IXJ524313:IXX524316 JHF524313:JHT524316 JRB524313:JRP524316 KAX524313:KBL524316 KKT524313:KLH524316 KUP524313:KVD524316 LEL524313:LEZ524316 LOH524313:LOV524316 LYD524313:LYR524316 MHZ524313:MIN524316 MRV524313:MSJ524316 NBR524313:NCF524316 NLN524313:NMB524316 NVJ524313:NVX524316 OFF524313:OFT524316 OPB524313:OPP524316 OYX524313:OZL524316 PIT524313:PJH524316 PSP524313:PTD524316 QCL524313:QCZ524316 QMH524313:QMV524316 QWD524313:QWR524316 RFZ524313:RGN524316 RPV524313:RQJ524316 RZR524313:SAF524316 SJN524313:SKB524316 STJ524313:STX524316 TDF524313:TDT524316 TNB524313:TNP524316 TWX524313:TXL524316 UGT524313:UHH524316 UQP524313:URD524316 VAL524313:VAZ524316 VKH524313:VKV524316 VUD524313:VUR524316 WDZ524313:WEN524316 WNV524313:WOJ524316 WXR524313:WYF524316 BJ589849:BX589852 LF589849:LT589852 VB589849:VP589852 AEX589849:AFL589852 AOT589849:APH589852 AYP589849:AZD589852 BIL589849:BIZ589852 BSH589849:BSV589852 CCD589849:CCR589852 CLZ589849:CMN589852 CVV589849:CWJ589852 DFR589849:DGF589852 DPN589849:DQB589852 DZJ589849:DZX589852 EJF589849:EJT589852 ETB589849:ETP589852 FCX589849:FDL589852 FMT589849:FNH589852 FWP589849:FXD589852 GGL589849:GGZ589852 GQH589849:GQV589852 HAD589849:HAR589852 HJZ589849:HKN589852 HTV589849:HUJ589852 IDR589849:IEF589852 INN589849:IOB589852 IXJ589849:IXX589852 JHF589849:JHT589852 JRB589849:JRP589852 KAX589849:KBL589852 KKT589849:KLH589852 KUP589849:KVD589852 LEL589849:LEZ589852 LOH589849:LOV589852 LYD589849:LYR589852 MHZ589849:MIN589852 MRV589849:MSJ589852 NBR589849:NCF589852 NLN589849:NMB589852 NVJ589849:NVX589852 OFF589849:OFT589852 OPB589849:OPP589852 OYX589849:OZL589852 PIT589849:PJH589852 PSP589849:PTD589852 QCL589849:QCZ589852 QMH589849:QMV589852 QWD589849:QWR589852 RFZ589849:RGN589852 RPV589849:RQJ589852 RZR589849:SAF589852 SJN589849:SKB589852 STJ589849:STX589852 TDF589849:TDT589852 TNB589849:TNP589852 TWX589849:TXL589852 UGT589849:UHH589852 UQP589849:URD589852 VAL589849:VAZ589852 VKH589849:VKV589852 VUD589849:VUR589852 WDZ589849:WEN589852 WNV589849:WOJ589852 WXR589849:WYF589852 BJ655385:BX655388 LF655385:LT655388 VB655385:VP655388 AEX655385:AFL655388 AOT655385:APH655388 AYP655385:AZD655388 BIL655385:BIZ655388 BSH655385:BSV655388 CCD655385:CCR655388 CLZ655385:CMN655388 CVV655385:CWJ655388 DFR655385:DGF655388 DPN655385:DQB655388 DZJ655385:DZX655388 EJF655385:EJT655388 ETB655385:ETP655388 FCX655385:FDL655388 FMT655385:FNH655388 FWP655385:FXD655388 GGL655385:GGZ655388 GQH655385:GQV655388 HAD655385:HAR655388 HJZ655385:HKN655388 HTV655385:HUJ655388 IDR655385:IEF655388 INN655385:IOB655388 IXJ655385:IXX655388 JHF655385:JHT655388 JRB655385:JRP655388 KAX655385:KBL655388 KKT655385:KLH655388 KUP655385:KVD655388 LEL655385:LEZ655388 LOH655385:LOV655388 LYD655385:LYR655388 MHZ655385:MIN655388 MRV655385:MSJ655388 NBR655385:NCF655388 NLN655385:NMB655388 NVJ655385:NVX655388 OFF655385:OFT655388 OPB655385:OPP655388 OYX655385:OZL655388 PIT655385:PJH655388 PSP655385:PTD655388 QCL655385:QCZ655388 QMH655385:QMV655388 QWD655385:QWR655388 RFZ655385:RGN655388 RPV655385:RQJ655388 RZR655385:SAF655388 SJN655385:SKB655388 STJ655385:STX655388 TDF655385:TDT655388 TNB655385:TNP655388 TWX655385:TXL655388 UGT655385:UHH655388 UQP655385:URD655388 VAL655385:VAZ655388 VKH655385:VKV655388 VUD655385:VUR655388 WDZ655385:WEN655388 WNV655385:WOJ655388 WXR655385:WYF655388 BJ720921:BX720924 LF720921:LT720924 VB720921:VP720924 AEX720921:AFL720924 AOT720921:APH720924 AYP720921:AZD720924 BIL720921:BIZ720924 BSH720921:BSV720924 CCD720921:CCR720924 CLZ720921:CMN720924 CVV720921:CWJ720924 DFR720921:DGF720924 DPN720921:DQB720924 DZJ720921:DZX720924 EJF720921:EJT720924 ETB720921:ETP720924 FCX720921:FDL720924 FMT720921:FNH720924 FWP720921:FXD720924 GGL720921:GGZ720924 GQH720921:GQV720924 HAD720921:HAR720924 HJZ720921:HKN720924 HTV720921:HUJ720924 IDR720921:IEF720924 INN720921:IOB720924 IXJ720921:IXX720924 JHF720921:JHT720924 JRB720921:JRP720924 KAX720921:KBL720924 KKT720921:KLH720924 KUP720921:KVD720924 LEL720921:LEZ720924 LOH720921:LOV720924 LYD720921:LYR720924 MHZ720921:MIN720924 MRV720921:MSJ720924 NBR720921:NCF720924 NLN720921:NMB720924 NVJ720921:NVX720924 OFF720921:OFT720924 OPB720921:OPP720924 OYX720921:OZL720924 PIT720921:PJH720924 PSP720921:PTD720924 QCL720921:QCZ720924 QMH720921:QMV720924 QWD720921:QWR720924 RFZ720921:RGN720924 RPV720921:RQJ720924 RZR720921:SAF720924 SJN720921:SKB720924 STJ720921:STX720924 TDF720921:TDT720924 TNB720921:TNP720924 TWX720921:TXL720924 UGT720921:UHH720924 UQP720921:URD720924 VAL720921:VAZ720924 VKH720921:VKV720924 VUD720921:VUR720924 WDZ720921:WEN720924 WNV720921:WOJ720924 WXR720921:WYF720924 BJ786457:BX786460 LF786457:LT786460 VB786457:VP786460 AEX786457:AFL786460 AOT786457:APH786460 AYP786457:AZD786460 BIL786457:BIZ786460 BSH786457:BSV786460 CCD786457:CCR786460 CLZ786457:CMN786460 CVV786457:CWJ786460 DFR786457:DGF786460 DPN786457:DQB786460 DZJ786457:DZX786460 EJF786457:EJT786460 ETB786457:ETP786460 FCX786457:FDL786460 FMT786457:FNH786460 FWP786457:FXD786460 GGL786457:GGZ786460 GQH786457:GQV786460 HAD786457:HAR786460 HJZ786457:HKN786460 HTV786457:HUJ786460 IDR786457:IEF786460 INN786457:IOB786460 IXJ786457:IXX786460 JHF786457:JHT786460 JRB786457:JRP786460 KAX786457:KBL786460 KKT786457:KLH786460 KUP786457:KVD786460 LEL786457:LEZ786460 LOH786457:LOV786460 LYD786457:LYR786460 MHZ786457:MIN786460 MRV786457:MSJ786460 NBR786457:NCF786460 NLN786457:NMB786460 NVJ786457:NVX786460 OFF786457:OFT786460 OPB786457:OPP786460 OYX786457:OZL786460 PIT786457:PJH786460 PSP786457:PTD786460 QCL786457:QCZ786460 QMH786457:QMV786460 QWD786457:QWR786460 RFZ786457:RGN786460 RPV786457:RQJ786460 RZR786457:SAF786460 SJN786457:SKB786460 STJ786457:STX786460 TDF786457:TDT786460 TNB786457:TNP786460 TWX786457:TXL786460 UGT786457:UHH786460 UQP786457:URD786460 VAL786457:VAZ786460 VKH786457:VKV786460 VUD786457:VUR786460 WDZ786457:WEN786460 WNV786457:WOJ786460 WXR786457:WYF786460 BJ851993:BX851996 LF851993:LT851996 VB851993:VP851996 AEX851993:AFL851996 AOT851993:APH851996 AYP851993:AZD851996 BIL851993:BIZ851996 BSH851993:BSV851996 CCD851993:CCR851996 CLZ851993:CMN851996 CVV851993:CWJ851996 DFR851993:DGF851996 DPN851993:DQB851996 DZJ851993:DZX851996 EJF851993:EJT851996 ETB851993:ETP851996 FCX851993:FDL851996 FMT851993:FNH851996 FWP851993:FXD851996 GGL851993:GGZ851996 GQH851993:GQV851996 HAD851993:HAR851996 HJZ851993:HKN851996 HTV851993:HUJ851996 IDR851993:IEF851996 INN851993:IOB851996 IXJ851993:IXX851996 JHF851993:JHT851996 JRB851993:JRP851996 KAX851993:KBL851996 KKT851993:KLH851996 KUP851993:KVD851996 LEL851993:LEZ851996 LOH851993:LOV851996 LYD851993:LYR851996 MHZ851993:MIN851996 MRV851993:MSJ851996 NBR851993:NCF851996 NLN851993:NMB851996 NVJ851993:NVX851996 OFF851993:OFT851996 OPB851993:OPP851996 OYX851993:OZL851996 PIT851993:PJH851996 PSP851993:PTD851996 QCL851993:QCZ851996 QMH851993:QMV851996 QWD851993:QWR851996 RFZ851993:RGN851996 RPV851993:RQJ851996 RZR851993:SAF851996 SJN851993:SKB851996 STJ851993:STX851996 TDF851993:TDT851996 TNB851993:TNP851996 TWX851993:TXL851996 UGT851993:UHH851996 UQP851993:URD851996 VAL851993:VAZ851996 VKH851993:VKV851996 VUD851993:VUR851996 WDZ851993:WEN851996 WNV851993:WOJ851996 WXR851993:WYF851996 BJ917529:BX917532 LF917529:LT917532 VB917529:VP917532 AEX917529:AFL917532 AOT917529:APH917532 AYP917529:AZD917532 BIL917529:BIZ917532 BSH917529:BSV917532 CCD917529:CCR917532 CLZ917529:CMN917532 CVV917529:CWJ917532 DFR917529:DGF917532 DPN917529:DQB917532 DZJ917529:DZX917532 EJF917529:EJT917532 ETB917529:ETP917532 FCX917529:FDL917532 FMT917529:FNH917532 FWP917529:FXD917532 GGL917529:GGZ917532 GQH917529:GQV917532 HAD917529:HAR917532 HJZ917529:HKN917532 HTV917529:HUJ917532 IDR917529:IEF917532 INN917529:IOB917532 IXJ917529:IXX917532 JHF917529:JHT917532 JRB917529:JRP917532 KAX917529:KBL917532 KKT917529:KLH917532 KUP917529:KVD917532 LEL917529:LEZ917532 LOH917529:LOV917532 LYD917529:LYR917532 MHZ917529:MIN917532 MRV917529:MSJ917532 NBR917529:NCF917532 NLN917529:NMB917532 NVJ917529:NVX917532 OFF917529:OFT917532 OPB917529:OPP917532 OYX917529:OZL917532 PIT917529:PJH917532 PSP917529:PTD917532 QCL917529:QCZ917532 QMH917529:QMV917532 QWD917529:QWR917532 RFZ917529:RGN917532 RPV917529:RQJ917532 RZR917529:SAF917532 SJN917529:SKB917532 STJ917529:STX917532 TDF917529:TDT917532 TNB917529:TNP917532 TWX917529:TXL917532 UGT917529:UHH917532 UQP917529:URD917532 VAL917529:VAZ917532 VKH917529:VKV917532 VUD917529:VUR917532 WDZ917529:WEN917532 WNV917529:WOJ917532 WXR917529:WYF917532 BJ983065:BX983068 LF983065:LT983068 VB983065:VP983068 AEX983065:AFL983068 AOT983065:APH983068 AYP983065:AZD983068 BIL983065:BIZ983068 BSH983065:BSV983068 CCD983065:CCR983068 CLZ983065:CMN983068 CVV983065:CWJ983068 DFR983065:DGF983068 DPN983065:DQB983068 DZJ983065:DZX983068 EJF983065:EJT983068 ETB983065:ETP983068 FCX983065:FDL983068 FMT983065:FNH983068 FWP983065:FXD983068 GGL983065:GGZ983068 GQH983065:GQV983068 HAD983065:HAR983068 HJZ983065:HKN983068 HTV983065:HUJ983068 IDR983065:IEF983068 INN983065:IOB983068 IXJ983065:IXX983068 JHF983065:JHT983068 JRB983065:JRP983068 KAX983065:KBL983068 KKT983065:KLH983068 KUP983065:KVD983068 LEL983065:LEZ983068 LOH983065:LOV983068 LYD983065:LYR983068 MHZ983065:MIN983068 MRV983065:MSJ983068 NBR983065:NCF983068 NLN983065:NMB983068 NVJ983065:NVX983068 OFF983065:OFT983068 OPB983065:OPP983068 OYX983065:OZL983068 PIT983065:PJH983068 PSP983065:PTD983068 QCL983065:QCZ983068 QMH983065:QMV983068 QWD983065:QWR983068 RFZ983065:RGN983068 RPV983065:RQJ983068 RZR983065:SAF983068 SJN983065:SKB983068 STJ983065:STX983068 TDF983065:TDT983068 TNB983065:TNP983068 TWX983065:TXL983068 UGT983065:UHH983068 UQP983065:URD983068 VAL983065:VAZ983068 VKH983065:VKV983068 VUD983065:VUR983068 WDZ983065:WEN983068 WNV983065:WOJ983068 WXR983065:WYF983068 BJ53:BX54 LF53:LT54 VB53:VP54 AEX53:AFL54 AOT53:APH54 AYP53:AZD54 BIL53:BIZ54 BSH53:BSV54 CCD53:CCR54 CLZ53:CMN54 CVV53:CWJ54 DFR53:DGF54 DPN53:DQB54 DZJ53:DZX54 EJF53:EJT54 ETB53:ETP54 FCX53:FDL54 FMT53:FNH54 FWP53:FXD54 GGL53:GGZ54 GQH53:GQV54 HAD53:HAR54 HJZ53:HKN54 HTV53:HUJ54 IDR53:IEF54 INN53:IOB54 IXJ53:IXX54 JHF53:JHT54 JRB53:JRP54 KAX53:KBL54 KKT53:KLH54 KUP53:KVD54 LEL53:LEZ54 LOH53:LOV54 LYD53:LYR54 MHZ53:MIN54 MRV53:MSJ54 NBR53:NCF54 NLN53:NMB54 NVJ53:NVX54 OFF53:OFT54 OPB53:OPP54 OYX53:OZL54 PIT53:PJH54 PSP53:PTD54 QCL53:QCZ54 QMH53:QMV54 QWD53:QWR54 RFZ53:RGN54 RPV53:RQJ54 RZR53:SAF54 SJN53:SKB54 STJ53:STX54 TDF53:TDT54 TNB53:TNP54 TWX53:TXL54 UGT53:UHH54 UQP53:URD54 VAL53:VAZ54 VKH53:VKV54 VUD53:VUR54 WDZ53:WEN54 WNV53:WOJ54 WXR53:WYF54 BJ65589:BX65590 LF65589:LT65590 VB65589:VP65590 AEX65589:AFL65590 AOT65589:APH65590 AYP65589:AZD65590 BIL65589:BIZ65590 BSH65589:BSV65590 CCD65589:CCR65590 CLZ65589:CMN65590 CVV65589:CWJ65590 DFR65589:DGF65590 DPN65589:DQB65590 DZJ65589:DZX65590 EJF65589:EJT65590 ETB65589:ETP65590 FCX65589:FDL65590 FMT65589:FNH65590 FWP65589:FXD65590 GGL65589:GGZ65590 GQH65589:GQV65590 HAD65589:HAR65590 HJZ65589:HKN65590 HTV65589:HUJ65590 IDR65589:IEF65590 INN65589:IOB65590 IXJ65589:IXX65590 JHF65589:JHT65590 JRB65589:JRP65590 KAX65589:KBL65590 KKT65589:KLH65590 KUP65589:KVD65590 LEL65589:LEZ65590 LOH65589:LOV65590 LYD65589:LYR65590 MHZ65589:MIN65590 MRV65589:MSJ65590 NBR65589:NCF65590 NLN65589:NMB65590 NVJ65589:NVX65590 OFF65589:OFT65590 OPB65589:OPP65590 OYX65589:OZL65590 PIT65589:PJH65590 PSP65589:PTD65590 QCL65589:QCZ65590 QMH65589:QMV65590 QWD65589:QWR65590 RFZ65589:RGN65590 RPV65589:RQJ65590 RZR65589:SAF65590 SJN65589:SKB65590 STJ65589:STX65590 TDF65589:TDT65590 TNB65589:TNP65590 TWX65589:TXL65590 UGT65589:UHH65590 UQP65589:URD65590 VAL65589:VAZ65590 VKH65589:VKV65590 VUD65589:VUR65590 WDZ65589:WEN65590 WNV65589:WOJ65590 WXR65589:WYF65590 BJ131125:BX131126 LF131125:LT131126 VB131125:VP131126 AEX131125:AFL131126 AOT131125:APH131126 AYP131125:AZD131126 BIL131125:BIZ131126 BSH131125:BSV131126 CCD131125:CCR131126 CLZ131125:CMN131126 CVV131125:CWJ131126 DFR131125:DGF131126 DPN131125:DQB131126 DZJ131125:DZX131126 EJF131125:EJT131126 ETB131125:ETP131126 FCX131125:FDL131126 FMT131125:FNH131126 FWP131125:FXD131126 GGL131125:GGZ131126 GQH131125:GQV131126 HAD131125:HAR131126 HJZ131125:HKN131126 HTV131125:HUJ131126 IDR131125:IEF131126 INN131125:IOB131126 IXJ131125:IXX131126 JHF131125:JHT131126 JRB131125:JRP131126 KAX131125:KBL131126 KKT131125:KLH131126 KUP131125:KVD131126 LEL131125:LEZ131126 LOH131125:LOV131126 LYD131125:LYR131126 MHZ131125:MIN131126 MRV131125:MSJ131126 NBR131125:NCF131126 NLN131125:NMB131126 NVJ131125:NVX131126 OFF131125:OFT131126 OPB131125:OPP131126 OYX131125:OZL131126 PIT131125:PJH131126 PSP131125:PTD131126 QCL131125:QCZ131126 QMH131125:QMV131126 QWD131125:QWR131126 RFZ131125:RGN131126 RPV131125:RQJ131126 RZR131125:SAF131126 SJN131125:SKB131126 STJ131125:STX131126 TDF131125:TDT131126 TNB131125:TNP131126 TWX131125:TXL131126 UGT131125:UHH131126 UQP131125:URD131126 VAL131125:VAZ131126 VKH131125:VKV131126 VUD131125:VUR131126 WDZ131125:WEN131126 WNV131125:WOJ131126 WXR131125:WYF131126 BJ196661:BX196662 LF196661:LT196662 VB196661:VP196662 AEX196661:AFL196662 AOT196661:APH196662 AYP196661:AZD196662 BIL196661:BIZ196662 BSH196661:BSV196662 CCD196661:CCR196662 CLZ196661:CMN196662 CVV196661:CWJ196662 DFR196661:DGF196662 DPN196661:DQB196662 DZJ196661:DZX196662 EJF196661:EJT196662 ETB196661:ETP196662 FCX196661:FDL196662 FMT196661:FNH196662 FWP196661:FXD196662 GGL196661:GGZ196662 GQH196661:GQV196662 HAD196661:HAR196662 HJZ196661:HKN196662 HTV196661:HUJ196662 IDR196661:IEF196662 INN196661:IOB196662 IXJ196661:IXX196662 JHF196661:JHT196662 JRB196661:JRP196662 KAX196661:KBL196662 KKT196661:KLH196662 KUP196661:KVD196662 LEL196661:LEZ196662 LOH196661:LOV196662 LYD196661:LYR196662 MHZ196661:MIN196662 MRV196661:MSJ196662 NBR196661:NCF196662 NLN196661:NMB196662 NVJ196661:NVX196662 OFF196661:OFT196662 OPB196661:OPP196662 OYX196661:OZL196662 PIT196661:PJH196662 PSP196661:PTD196662 QCL196661:QCZ196662 QMH196661:QMV196662 QWD196661:QWR196662 RFZ196661:RGN196662 RPV196661:RQJ196662 RZR196661:SAF196662 SJN196661:SKB196662 STJ196661:STX196662 TDF196661:TDT196662 TNB196661:TNP196662 TWX196661:TXL196662 UGT196661:UHH196662 UQP196661:URD196662 VAL196661:VAZ196662 VKH196661:VKV196662 VUD196661:VUR196662 WDZ196661:WEN196662 WNV196661:WOJ196662 WXR196661:WYF196662 BJ262197:BX262198 LF262197:LT262198 VB262197:VP262198 AEX262197:AFL262198 AOT262197:APH262198 AYP262197:AZD262198 BIL262197:BIZ262198 BSH262197:BSV262198 CCD262197:CCR262198 CLZ262197:CMN262198 CVV262197:CWJ262198 DFR262197:DGF262198 DPN262197:DQB262198 DZJ262197:DZX262198 EJF262197:EJT262198 ETB262197:ETP262198 FCX262197:FDL262198 FMT262197:FNH262198 FWP262197:FXD262198 GGL262197:GGZ262198 GQH262197:GQV262198 HAD262197:HAR262198 HJZ262197:HKN262198 HTV262197:HUJ262198 IDR262197:IEF262198 INN262197:IOB262198 IXJ262197:IXX262198 JHF262197:JHT262198 JRB262197:JRP262198 KAX262197:KBL262198 KKT262197:KLH262198 KUP262197:KVD262198 LEL262197:LEZ262198 LOH262197:LOV262198 LYD262197:LYR262198 MHZ262197:MIN262198 MRV262197:MSJ262198 NBR262197:NCF262198 NLN262197:NMB262198 NVJ262197:NVX262198 OFF262197:OFT262198 OPB262197:OPP262198 OYX262197:OZL262198 PIT262197:PJH262198 PSP262197:PTD262198 QCL262197:QCZ262198 QMH262197:QMV262198 QWD262197:QWR262198 RFZ262197:RGN262198 RPV262197:RQJ262198 RZR262197:SAF262198 SJN262197:SKB262198 STJ262197:STX262198 TDF262197:TDT262198 TNB262197:TNP262198 TWX262197:TXL262198 UGT262197:UHH262198 UQP262197:URD262198 VAL262197:VAZ262198 VKH262197:VKV262198 VUD262197:VUR262198 WDZ262197:WEN262198 WNV262197:WOJ262198 WXR262197:WYF262198 BJ327733:BX327734 LF327733:LT327734 VB327733:VP327734 AEX327733:AFL327734 AOT327733:APH327734 AYP327733:AZD327734 BIL327733:BIZ327734 BSH327733:BSV327734 CCD327733:CCR327734 CLZ327733:CMN327734 CVV327733:CWJ327734 DFR327733:DGF327734 DPN327733:DQB327734 DZJ327733:DZX327734 EJF327733:EJT327734 ETB327733:ETP327734 FCX327733:FDL327734 FMT327733:FNH327734 FWP327733:FXD327734 GGL327733:GGZ327734 GQH327733:GQV327734 HAD327733:HAR327734 HJZ327733:HKN327734 HTV327733:HUJ327734 IDR327733:IEF327734 INN327733:IOB327734 IXJ327733:IXX327734 JHF327733:JHT327734 JRB327733:JRP327734 KAX327733:KBL327734 KKT327733:KLH327734 KUP327733:KVD327734 LEL327733:LEZ327734 LOH327733:LOV327734 LYD327733:LYR327734 MHZ327733:MIN327734 MRV327733:MSJ327734 NBR327733:NCF327734 NLN327733:NMB327734 NVJ327733:NVX327734 OFF327733:OFT327734 OPB327733:OPP327734 OYX327733:OZL327734 PIT327733:PJH327734 PSP327733:PTD327734 QCL327733:QCZ327734 QMH327733:QMV327734 QWD327733:QWR327734 RFZ327733:RGN327734 RPV327733:RQJ327734 RZR327733:SAF327734 SJN327733:SKB327734 STJ327733:STX327734 TDF327733:TDT327734 TNB327733:TNP327734 TWX327733:TXL327734 UGT327733:UHH327734 UQP327733:URD327734 VAL327733:VAZ327734 VKH327733:VKV327734 VUD327733:VUR327734 WDZ327733:WEN327734 WNV327733:WOJ327734 WXR327733:WYF327734 BJ393269:BX393270 LF393269:LT393270 VB393269:VP393270 AEX393269:AFL393270 AOT393269:APH393270 AYP393269:AZD393270 BIL393269:BIZ393270 BSH393269:BSV393270 CCD393269:CCR393270 CLZ393269:CMN393270 CVV393269:CWJ393270 DFR393269:DGF393270 DPN393269:DQB393270 DZJ393269:DZX393270 EJF393269:EJT393270 ETB393269:ETP393270 FCX393269:FDL393270 FMT393269:FNH393270 FWP393269:FXD393270 GGL393269:GGZ393270 GQH393269:GQV393270 HAD393269:HAR393270 HJZ393269:HKN393270 HTV393269:HUJ393270 IDR393269:IEF393270 INN393269:IOB393270 IXJ393269:IXX393270 JHF393269:JHT393270 JRB393269:JRP393270 KAX393269:KBL393270 KKT393269:KLH393270 KUP393269:KVD393270 LEL393269:LEZ393270 LOH393269:LOV393270 LYD393269:LYR393270 MHZ393269:MIN393270 MRV393269:MSJ393270 NBR393269:NCF393270 NLN393269:NMB393270 NVJ393269:NVX393270 OFF393269:OFT393270 OPB393269:OPP393270 OYX393269:OZL393270 PIT393269:PJH393270 PSP393269:PTD393270 QCL393269:QCZ393270 QMH393269:QMV393270 QWD393269:QWR393270 RFZ393269:RGN393270 RPV393269:RQJ393270 RZR393269:SAF393270 SJN393269:SKB393270 STJ393269:STX393270 TDF393269:TDT393270 TNB393269:TNP393270 TWX393269:TXL393270 UGT393269:UHH393270 UQP393269:URD393270 VAL393269:VAZ393270 VKH393269:VKV393270 VUD393269:VUR393270 WDZ393269:WEN393270 WNV393269:WOJ393270 WXR393269:WYF393270 BJ458805:BX458806 LF458805:LT458806 VB458805:VP458806 AEX458805:AFL458806 AOT458805:APH458806 AYP458805:AZD458806 BIL458805:BIZ458806 BSH458805:BSV458806 CCD458805:CCR458806 CLZ458805:CMN458806 CVV458805:CWJ458806 DFR458805:DGF458806 DPN458805:DQB458806 DZJ458805:DZX458806 EJF458805:EJT458806 ETB458805:ETP458806 FCX458805:FDL458806 FMT458805:FNH458806 FWP458805:FXD458806 GGL458805:GGZ458806 GQH458805:GQV458806 HAD458805:HAR458806 HJZ458805:HKN458806 HTV458805:HUJ458806 IDR458805:IEF458806 INN458805:IOB458806 IXJ458805:IXX458806 JHF458805:JHT458806 JRB458805:JRP458806 KAX458805:KBL458806 KKT458805:KLH458806 KUP458805:KVD458806 LEL458805:LEZ458806 LOH458805:LOV458806 LYD458805:LYR458806 MHZ458805:MIN458806 MRV458805:MSJ458806 NBR458805:NCF458806 NLN458805:NMB458806 NVJ458805:NVX458806 OFF458805:OFT458806 OPB458805:OPP458806 OYX458805:OZL458806 PIT458805:PJH458806 PSP458805:PTD458806 QCL458805:QCZ458806 QMH458805:QMV458806 QWD458805:QWR458806 RFZ458805:RGN458806 RPV458805:RQJ458806 RZR458805:SAF458806 SJN458805:SKB458806 STJ458805:STX458806 TDF458805:TDT458806 TNB458805:TNP458806 TWX458805:TXL458806 UGT458805:UHH458806 UQP458805:URD458806 VAL458805:VAZ458806 VKH458805:VKV458806 VUD458805:VUR458806 WDZ458805:WEN458806 WNV458805:WOJ458806 WXR458805:WYF458806 BJ524341:BX524342 LF524341:LT524342 VB524341:VP524342 AEX524341:AFL524342 AOT524341:APH524342 AYP524341:AZD524342 BIL524341:BIZ524342 BSH524341:BSV524342 CCD524341:CCR524342 CLZ524341:CMN524342 CVV524341:CWJ524342 DFR524341:DGF524342 DPN524341:DQB524342 DZJ524341:DZX524342 EJF524341:EJT524342 ETB524341:ETP524342 FCX524341:FDL524342 FMT524341:FNH524342 FWP524341:FXD524342 GGL524341:GGZ524342 GQH524341:GQV524342 HAD524341:HAR524342 HJZ524341:HKN524342 HTV524341:HUJ524342 IDR524341:IEF524342 INN524341:IOB524342 IXJ524341:IXX524342 JHF524341:JHT524342 JRB524341:JRP524342 KAX524341:KBL524342 KKT524341:KLH524342 KUP524341:KVD524342 LEL524341:LEZ524342 LOH524341:LOV524342 LYD524341:LYR524342 MHZ524341:MIN524342 MRV524341:MSJ524342 NBR524341:NCF524342 NLN524341:NMB524342 NVJ524341:NVX524342 OFF524341:OFT524342 OPB524341:OPP524342 OYX524341:OZL524342 PIT524341:PJH524342 PSP524341:PTD524342 QCL524341:QCZ524342 QMH524341:QMV524342 QWD524341:QWR524342 RFZ524341:RGN524342 RPV524341:RQJ524342 RZR524341:SAF524342 SJN524341:SKB524342 STJ524341:STX524342 TDF524341:TDT524342 TNB524341:TNP524342 TWX524341:TXL524342 UGT524341:UHH524342 UQP524341:URD524342 VAL524341:VAZ524342 VKH524341:VKV524342 VUD524341:VUR524342 WDZ524341:WEN524342 WNV524341:WOJ524342 WXR524341:WYF524342 BJ589877:BX589878 LF589877:LT589878 VB589877:VP589878 AEX589877:AFL589878 AOT589877:APH589878 AYP589877:AZD589878 BIL589877:BIZ589878 BSH589877:BSV589878 CCD589877:CCR589878 CLZ589877:CMN589878 CVV589877:CWJ589878 DFR589877:DGF589878 DPN589877:DQB589878 DZJ589877:DZX589878 EJF589877:EJT589878 ETB589877:ETP589878 FCX589877:FDL589878 FMT589877:FNH589878 FWP589877:FXD589878 GGL589877:GGZ589878 GQH589877:GQV589878 HAD589877:HAR589878 HJZ589877:HKN589878 HTV589877:HUJ589878 IDR589877:IEF589878 INN589877:IOB589878 IXJ589877:IXX589878 JHF589877:JHT589878 JRB589877:JRP589878 KAX589877:KBL589878 KKT589877:KLH589878 KUP589877:KVD589878 LEL589877:LEZ589878 LOH589877:LOV589878 LYD589877:LYR589878 MHZ589877:MIN589878 MRV589877:MSJ589878 NBR589877:NCF589878 NLN589877:NMB589878 NVJ589877:NVX589878 OFF589877:OFT589878 OPB589877:OPP589878 OYX589877:OZL589878 PIT589877:PJH589878 PSP589877:PTD589878 QCL589877:QCZ589878 QMH589877:QMV589878 QWD589877:QWR589878 RFZ589877:RGN589878 RPV589877:RQJ589878 RZR589877:SAF589878 SJN589877:SKB589878 STJ589877:STX589878 TDF589877:TDT589878 TNB589877:TNP589878 TWX589877:TXL589878 UGT589877:UHH589878 UQP589877:URD589878 VAL589877:VAZ589878 VKH589877:VKV589878 VUD589877:VUR589878 WDZ589877:WEN589878 WNV589877:WOJ589878 WXR589877:WYF589878 BJ655413:BX655414 LF655413:LT655414 VB655413:VP655414 AEX655413:AFL655414 AOT655413:APH655414 AYP655413:AZD655414 BIL655413:BIZ655414 BSH655413:BSV655414 CCD655413:CCR655414 CLZ655413:CMN655414 CVV655413:CWJ655414 DFR655413:DGF655414 DPN655413:DQB655414 DZJ655413:DZX655414 EJF655413:EJT655414 ETB655413:ETP655414 FCX655413:FDL655414 FMT655413:FNH655414 FWP655413:FXD655414 GGL655413:GGZ655414 GQH655413:GQV655414 HAD655413:HAR655414 HJZ655413:HKN655414 HTV655413:HUJ655414 IDR655413:IEF655414 INN655413:IOB655414 IXJ655413:IXX655414 JHF655413:JHT655414 JRB655413:JRP655414 KAX655413:KBL655414 KKT655413:KLH655414 KUP655413:KVD655414 LEL655413:LEZ655414 LOH655413:LOV655414 LYD655413:LYR655414 MHZ655413:MIN655414 MRV655413:MSJ655414 NBR655413:NCF655414 NLN655413:NMB655414 NVJ655413:NVX655414 OFF655413:OFT655414 OPB655413:OPP655414 OYX655413:OZL655414 PIT655413:PJH655414 PSP655413:PTD655414 QCL655413:QCZ655414 QMH655413:QMV655414 QWD655413:QWR655414 RFZ655413:RGN655414 RPV655413:RQJ655414 RZR655413:SAF655414 SJN655413:SKB655414 STJ655413:STX655414 TDF655413:TDT655414 TNB655413:TNP655414 TWX655413:TXL655414 UGT655413:UHH655414 UQP655413:URD655414 VAL655413:VAZ655414 VKH655413:VKV655414 VUD655413:VUR655414 WDZ655413:WEN655414 WNV655413:WOJ655414 WXR655413:WYF655414 BJ720949:BX720950 LF720949:LT720950 VB720949:VP720950 AEX720949:AFL720950 AOT720949:APH720950 AYP720949:AZD720950 BIL720949:BIZ720950 BSH720949:BSV720950 CCD720949:CCR720950 CLZ720949:CMN720950 CVV720949:CWJ720950 DFR720949:DGF720950 DPN720949:DQB720950 DZJ720949:DZX720950 EJF720949:EJT720950 ETB720949:ETP720950 FCX720949:FDL720950 FMT720949:FNH720950 FWP720949:FXD720950 GGL720949:GGZ720950 GQH720949:GQV720950 HAD720949:HAR720950 HJZ720949:HKN720950 HTV720949:HUJ720950 IDR720949:IEF720950 INN720949:IOB720950 IXJ720949:IXX720950 JHF720949:JHT720950 JRB720949:JRP720950 KAX720949:KBL720950 KKT720949:KLH720950 KUP720949:KVD720950 LEL720949:LEZ720950 LOH720949:LOV720950 LYD720949:LYR720950 MHZ720949:MIN720950 MRV720949:MSJ720950 NBR720949:NCF720950 NLN720949:NMB720950 NVJ720949:NVX720950 OFF720949:OFT720950 OPB720949:OPP720950 OYX720949:OZL720950 PIT720949:PJH720950 PSP720949:PTD720950 QCL720949:QCZ720950 QMH720949:QMV720950 QWD720949:QWR720950 RFZ720949:RGN720950 RPV720949:RQJ720950 RZR720949:SAF720950 SJN720949:SKB720950 STJ720949:STX720950 TDF720949:TDT720950 TNB720949:TNP720950 TWX720949:TXL720950 UGT720949:UHH720950 UQP720949:URD720950 VAL720949:VAZ720950 VKH720949:VKV720950 VUD720949:VUR720950 WDZ720949:WEN720950 WNV720949:WOJ720950 WXR720949:WYF720950 BJ786485:BX786486 LF786485:LT786486 VB786485:VP786486 AEX786485:AFL786486 AOT786485:APH786486 AYP786485:AZD786486 BIL786485:BIZ786486 BSH786485:BSV786486 CCD786485:CCR786486 CLZ786485:CMN786486 CVV786485:CWJ786486 DFR786485:DGF786486 DPN786485:DQB786486 DZJ786485:DZX786486 EJF786485:EJT786486 ETB786485:ETP786486 FCX786485:FDL786486 FMT786485:FNH786486 FWP786485:FXD786486 GGL786485:GGZ786486 GQH786485:GQV786486 HAD786485:HAR786486 HJZ786485:HKN786486 HTV786485:HUJ786486 IDR786485:IEF786486 INN786485:IOB786486 IXJ786485:IXX786486 JHF786485:JHT786486 JRB786485:JRP786486 KAX786485:KBL786486 KKT786485:KLH786486 KUP786485:KVD786486 LEL786485:LEZ786486 LOH786485:LOV786486 LYD786485:LYR786486 MHZ786485:MIN786486 MRV786485:MSJ786486 NBR786485:NCF786486 NLN786485:NMB786486 NVJ786485:NVX786486 OFF786485:OFT786486 OPB786485:OPP786486 OYX786485:OZL786486 PIT786485:PJH786486 PSP786485:PTD786486 QCL786485:QCZ786486 QMH786485:QMV786486 QWD786485:QWR786486 RFZ786485:RGN786486 RPV786485:RQJ786486 RZR786485:SAF786486 SJN786485:SKB786486 STJ786485:STX786486 TDF786485:TDT786486 TNB786485:TNP786486 TWX786485:TXL786486 UGT786485:UHH786486 UQP786485:URD786486 VAL786485:VAZ786486 VKH786485:VKV786486 VUD786485:VUR786486 WDZ786485:WEN786486 WNV786485:WOJ786486 WXR786485:WYF786486 BJ852021:BX852022 LF852021:LT852022 VB852021:VP852022 AEX852021:AFL852022 AOT852021:APH852022 AYP852021:AZD852022 BIL852021:BIZ852022 BSH852021:BSV852022 CCD852021:CCR852022 CLZ852021:CMN852022 CVV852021:CWJ852022 DFR852021:DGF852022 DPN852021:DQB852022 DZJ852021:DZX852022 EJF852021:EJT852022 ETB852021:ETP852022 FCX852021:FDL852022 FMT852021:FNH852022 FWP852021:FXD852022 GGL852021:GGZ852022 GQH852021:GQV852022 HAD852021:HAR852022 HJZ852021:HKN852022 HTV852021:HUJ852022 IDR852021:IEF852022 INN852021:IOB852022 IXJ852021:IXX852022 JHF852021:JHT852022 JRB852021:JRP852022 KAX852021:KBL852022 KKT852021:KLH852022 KUP852021:KVD852022 LEL852021:LEZ852022 LOH852021:LOV852022 LYD852021:LYR852022 MHZ852021:MIN852022 MRV852021:MSJ852022 NBR852021:NCF852022 NLN852021:NMB852022 NVJ852021:NVX852022 OFF852021:OFT852022 OPB852021:OPP852022 OYX852021:OZL852022 PIT852021:PJH852022 PSP852021:PTD852022 QCL852021:QCZ852022 QMH852021:QMV852022 QWD852021:QWR852022 RFZ852021:RGN852022 RPV852021:RQJ852022 RZR852021:SAF852022 SJN852021:SKB852022 STJ852021:STX852022 TDF852021:TDT852022 TNB852021:TNP852022 TWX852021:TXL852022 UGT852021:UHH852022 UQP852021:URD852022 VAL852021:VAZ852022 VKH852021:VKV852022 VUD852021:VUR852022 WDZ852021:WEN852022 WNV852021:WOJ852022 WXR852021:WYF852022 BJ917557:BX917558 LF917557:LT917558 VB917557:VP917558 AEX917557:AFL917558 AOT917557:APH917558 AYP917557:AZD917558 BIL917557:BIZ917558 BSH917557:BSV917558 CCD917557:CCR917558 CLZ917557:CMN917558 CVV917557:CWJ917558 DFR917557:DGF917558 DPN917557:DQB917558 DZJ917557:DZX917558 EJF917557:EJT917558 ETB917557:ETP917558 FCX917557:FDL917558 FMT917557:FNH917558 FWP917557:FXD917558 GGL917557:GGZ917558 GQH917557:GQV917558 HAD917557:HAR917558 HJZ917557:HKN917558 HTV917557:HUJ917558 IDR917557:IEF917558 INN917557:IOB917558 IXJ917557:IXX917558 JHF917557:JHT917558 JRB917557:JRP917558 KAX917557:KBL917558 KKT917557:KLH917558 KUP917557:KVD917558 LEL917557:LEZ917558 LOH917557:LOV917558 LYD917557:LYR917558 MHZ917557:MIN917558 MRV917557:MSJ917558 NBR917557:NCF917558 NLN917557:NMB917558 NVJ917557:NVX917558 OFF917557:OFT917558 OPB917557:OPP917558 OYX917557:OZL917558 PIT917557:PJH917558 PSP917557:PTD917558 QCL917557:QCZ917558 QMH917557:QMV917558 QWD917557:QWR917558 RFZ917557:RGN917558 RPV917557:RQJ917558 RZR917557:SAF917558 SJN917557:SKB917558 STJ917557:STX917558 TDF917557:TDT917558 TNB917557:TNP917558 TWX917557:TXL917558 UGT917557:UHH917558 UQP917557:URD917558 VAL917557:VAZ917558 VKH917557:VKV917558 VUD917557:VUR917558 WDZ917557:WEN917558 WNV917557:WOJ917558 WXR917557:WYF917558 BJ983093:BX983094 LF983093:LT983094 VB983093:VP983094 AEX983093:AFL983094 AOT983093:APH983094 AYP983093:AZD983094 BIL983093:BIZ983094 BSH983093:BSV983094 CCD983093:CCR983094 CLZ983093:CMN983094 CVV983093:CWJ983094 DFR983093:DGF983094 DPN983093:DQB983094 DZJ983093:DZX983094 EJF983093:EJT983094 ETB983093:ETP983094 FCX983093:FDL983094 FMT983093:FNH983094 FWP983093:FXD983094 GGL983093:GGZ983094 GQH983093:GQV983094 HAD983093:HAR983094 HJZ983093:HKN983094 HTV983093:HUJ983094 IDR983093:IEF983094 INN983093:IOB983094 IXJ983093:IXX983094 JHF983093:JHT983094 JRB983093:JRP983094 KAX983093:KBL983094 KKT983093:KLH983094 KUP983093:KVD983094 LEL983093:LEZ983094 LOH983093:LOV983094 LYD983093:LYR983094 MHZ983093:MIN983094 MRV983093:MSJ983094 NBR983093:NCF983094 NLN983093:NMB983094 NVJ983093:NVX983094 OFF983093:OFT983094 OPB983093:OPP983094 OYX983093:OZL983094 PIT983093:PJH983094 PSP983093:PTD983094 QCL983093:QCZ983094 QMH983093:QMV983094 QWD983093:QWR983094 RFZ983093:RGN983094 RPV983093:RQJ983094 RZR983093:SAF983094 SJN983093:SKB983094 STJ983093:STX983094 TDF983093:TDT983094 TNB983093:TNP983094 TWX983093:TXL983094 UGT983093:UHH983094 UQP983093:URD983094 VAL983093:VAZ983094 VKH983093:VKV983094 VUD983093:VUR983094 WDZ983093:WEN983094 WNV983093:WOJ983094 WXR983093:WYF983094 BJ57:BX60 LF57:LT60 VB57:VP60 AEX57:AFL60 AOT57:APH60 AYP57:AZD60 BIL57:BIZ60 BSH57:BSV60 CCD57:CCR60 CLZ57:CMN60 CVV57:CWJ60 DFR57:DGF60 DPN57:DQB60 DZJ57:DZX60 EJF57:EJT60 ETB57:ETP60 FCX57:FDL60 FMT57:FNH60 FWP57:FXD60 GGL57:GGZ60 GQH57:GQV60 HAD57:HAR60 HJZ57:HKN60 HTV57:HUJ60 IDR57:IEF60 INN57:IOB60 IXJ57:IXX60 JHF57:JHT60 JRB57:JRP60 KAX57:KBL60 KKT57:KLH60 KUP57:KVD60 LEL57:LEZ60 LOH57:LOV60 LYD57:LYR60 MHZ57:MIN60 MRV57:MSJ60 NBR57:NCF60 NLN57:NMB60 NVJ57:NVX60 OFF57:OFT60 OPB57:OPP60 OYX57:OZL60 PIT57:PJH60 PSP57:PTD60 QCL57:QCZ60 QMH57:QMV60 QWD57:QWR60 RFZ57:RGN60 RPV57:RQJ60 RZR57:SAF60 SJN57:SKB60 STJ57:STX60 TDF57:TDT60 TNB57:TNP60 TWX57:TXL60 UGT57:UHH60 UQP57:URD60 VAL57:VAZ60 VKH57:VKV60 VUD57:VUR60 WDZ57:WEN60 WNV57:WOJ60 WXR57:WYF60 BJ65593:BX65596 LF65593:LT65596 VB65593:VP65596 AEX65593:AFL65596 AOT65593:APH65596 AYP65593:AZD65596 BIL65593:BIZ65596 BSH65593:BSV65596 CCD65593:CCR65596 CLZ65593:CMN65596 CVV65593:CWJ65596 DFR65593:DGF65596 DPN65593:DQB65596 DZJ65593:DZX65596 EJF65593:EJT65596 ETB65593:ETP65596 FCX65593:FDL65596 FMT65593:FNH65596 FWP65593:FXD65596 GGL65593:GGZ65596 GQH65593:GQV65596 HAD65593:HAR65596 HJZ65593:HKN65596 HTV65593:HUJ65596 IDR65593:IEF65596 INN65593:IOB65596 IXJ65593:IXX65596 JHF65593:JHT65596 JRB65593:JRP65596 KAX65593:KBL65596 KKT65593:KLH65596 KUP65593:KVD65596 LEL65593:LEZ65596 LOH65593:LOV65596 LYD65593:LYR65596 MHZ65593:MIN65596 MRV65593:MSJ65596 NBR65593:NCF65596 NLN65593:NMB65596 NVJ65593:NVX65596 OFF65593:OFT65596 OPB65593:OPP65596 OYX65593:OZL65596 PIT65593:PJH65596 PSP65593:PTD65596 QCL65593:QCZ65596 QMH65593:QMV65596 QWD65593:QWR65596 RFZ65593:RGN65596 RPV65593:RQJ65596 RZR65593:SAF65596 SJN65593:SKB65596 STJ65593:STX65596 TDF65593:TDT65596 TNB65593:TNP65596 TWX65593:TXL65596 UGT65593:UHH65596 UQP65593:URD65596 VAL65593:VAZ65596 VKH65593:VKV65596 VUD65593:VUR65596 WDZ65593:WEN65596 WNV65593:WOJ65596 WXR65593:WYF65596 BJ131129:BX131132 LF131129:LT131132 VB131129:VP131132 AEX131129:AFL131132 AOT131129:APH131132 AYP131129:AZD131132 BIL131129:BIZ131132 BSH131129:BSV131132 CCD131129:CCR131132 CLZ131129:CMN131132 CVV131129:CWJ131132 DFR131129:DGF131132 DPN131129:DQB131132 DZJ131129:DZX131132 EJF131129:EJT131132 ETB131129:ETP131132 FCX131129:FDL131132 FMT131129:FNH131132 FWP131129:FXD131132 GGL131129:GGZ131132 GQH131129:GQV131132 HAD131129:HAR131132 HJZ131129:HKN131132 HTV131129:HUJ131132 IDR131129:IEF131132 INN131129:IOB131132 IXJ131129:IXX131132 JHF131129:JHT131132 JRB131129:JRP131132 KAX131129:KBL131132 KKT131129:KLH131132 KUP131129:KVD131132 LEL131129:LEZ131132 LOH131129:LOV131132 LYD131129:LYR131132 MHZ131129:MIN131132 MRV131129:MSJ131132 NBR131129:NCF131132 NLN131129:NMB131132 NVJ131129:NVX131132 OFF131129:OFT131132 OPB131129:OPP131132 OYX131129:OZL131132 PIT131129:PJH131132 PSP131129:PTD131132 QCL131129:QCZ131132 QMH131129:QMV131132 QWD131129:QWR131132 RFZ131129:RGN131132 RPV131129:RQJ131132 RZR131129:SAF131132 SJN131129:SKB131132 STJ131129:STX131132 TDF131129:TDT131132 TNB131129:TNP131132 TWX131129:TXL131132 UGT131129:UHH131132 UQP131129:URD131132 VAL131129:VAZ131132 VKH131129:VKV131132 VUD131129:VUR131132 WDZ131129:WEN131132 WNV131129:WOJ131132 WXR131129:WYF131132 BJ196665:BX196668 LF196665:LT196668 VB196665:VP196668 AEX196665:AFL196668 AOT196665:APH196668 AYP196665:AZD196668 BIL196665:BIZ196668 BSH196665:BSV196668 CCD196665:CCR196668 CLZ196665:CMN196668 CVV196665:CWJ196668 DFR196665:DGF196668 DPN196665:DQB196668 DZJ196665:DZX196668 EJF196665:EJT196668 ETB196665:ETP196668 FCX196665:FDL196668 FMT196665:FNH196668 FWP196665:FXD196668 GGL196665:GGZ196668 GQH196665:GQV196668 HAD196665:HAR196668 HJZ196665:HKN196668 HTV196665:HUJ196668 IDR196665:IEF196668 INN196665:IOB196668 IXJ196665:IXX196668 JHF196665:JHT196668 JRB196665:JRP196668 KAX196665:KBL196668 KKT196665:KLH196668 KUP196665:KVD196668 LEL196665:LEZ196668 LOH196665:LOV196668 LYD196665:LYR196668 MHZ196665:MIN196668 MRV196665:MSJ196668 NBR196665:NCF196668 NLN196665:NMB196668 NVJ196665:NVX196668 OFF196665:OFT196668 OPB196665:OPP196668 OYX196665:OZL196668 PIT196665:PJH196668 PSP196665:PTD196668 QCL196665:QCZ196668 QMH196665:QMV196668 QWD196665:QWR196668 RFZ196665:RGN196668 RPV196665:RQJ196668 RZR196665:SAF196668 SJN196665:SKB196668 STJ196665:STX196668 TDF196665:TDT196668 TNB196665:TNP196668 TWX196665:TXL196668 UGT196665:UHH196668 UQP196665:URD196668 VAL196665:VAZ196668 VKH196665:VKV196668 VUD196665:VUR196668 WDZ196665:WEN196668 WNV196665:WOJ196668 WXR196665:WYF196668 BJ262201:BX262204 LF262201:LT262204 VB262201:VP262204 AEX262201:AFL262204 AOT262201:APH262204 AYP262201:AZD262204 BIL262201:BIZ262204 BSH262201:BSV262204 CCD262201:CCR262204 CLZ262201:CMN262204 CVV262201:CWJ262204 DFR262201:DGF262204 DPN262201:DQB262204 DZJ262201:DZX262204 EJF262201:EJT262204 ETB262201:ETP262204 FCX262201:FDL262204 FMT262201:FNH262204 FWP262201:FXD262204 GGL262201:GGZ262204 GQH262201:GQV262204 HAD262201:HAR262204 HJZ262201:HKN262204 HTV262201:HUJ262204 IDR262201:IEF262204 INN262201:IOB262204 IXJ262201:IXX262204 JHF262201:JHT262204 JRB262201:JRP262204 KAX262201:KBL262204 KKT262201:KLH262204 KUP262201:KVD262204 LEL262201:LEZ262204 LOH262201:LOV262204 LYD262201:LYR262204 MHZ262201:MIN262204 MRV262201:MSJ262204 NBR262201:NCF262204 NLN262201:NMB262204 NVJ262201:NVX262204 OFF262201:OFT262204 OPB262201:OPP262204 OYX262201:OZL262204 PIT262201:PJH262204 PSP262201:PTD262204 QCL262201:QCZ262204 QMH262201:QMV262204 QWD262201:QWR262204 RFZ262201:RGN262204 RPV262201:RQJ262204 RZR262201:SAF262204 SJN262201:SKB262204 STJ262201:STX262204 TDF262201:TDT262204 TNB262201:TNP262204 TWX262201:TXL262204 UGT262201:UHH262204 UQP262201:URD262204 VAL262201:VAZ262204 VKH262201:VKV262204 VUD262201:VUR262204 WDZ262201:WEN262204 WNV262201:WOJ262204 WXR262201:WYF262204 BJ327737:BX327740 LF327737:LT327740 VB327737:VP327740 AEX327737:AFL327740 AOT327737:APH327740 AYP327737:AZD327740 BIL327737:BIZ327740 BSH327737:BSV327740 CCD327737:CCR327740 CLZ327737:CMN327740 CVV327737:CWJ327740 DFR327737:DGF327740 DPN327737:DQB327740 DZJ327737:DZX327740 EJF327737:EJT327740 ETB327737:ETP327740 FCX327737:FDL327740 FMT327737:FNH327740 FWP327737:FXD327740 GGL327737:GGZ327740 GQH327737:GQV327740 HAD327737:HAR327740 HJZ327737:HKN327740 HTV327737:HUJ327740 IDR327737:IEF327740 INN327737:IOB327740 IXJ327737:IXX327740 JHF327737:JHT327740 JRB327737:JRP327740 KAX327737:KBL327740 KKT327737:KLH327740 KUP327737:KVD327740 LEL327737:LEZ327740 LOH327737:LOV327740 LYD327737:LYR327740 MHZ327737:MIN327740 MRV327737:MSJ327740 NBR327737:NCF327740 NLN327737:NMB327740 NVJ327737:NVX327740 OFF327737:OFT327740 OPB327737:OPP327740 OYX327737:OZL327740 PIT327737:PJH327740 PSP327737:PTD327740 QCL327737:QCZ327740 QMH327737:QMV327740 QWD327737:QWR327740 RFZ327737:RGN327740 RPV327737:RQJ327740 RZR327737:SAF327740 SJN327737:SKB327740 STJ327737:STX327740 TDF327737:TDT327740 TNB327737:TNP327740 TWX327737:TXL327740 UGT327737:UHH327740 UQP327737:URD327740 VAL327737:VAZ327740 VKH327737:VKV327740 VUD327737:VUR327740 WDZ327737:WEN327740 WNV327737:WOJ327740 WXR327737:WYF327740 BJ393273:BX393276 LF393273:LT393276 VB393273:VP393276 AEX393273:AFL393276 AOT393273:APH393276 AYP393273:AZD393276 BIL393273:BIZ393276 BSH393273:BSV393276 CCD393273:CCR393276 CLZ393273:CMN393276 CVV393273:CWJ393276 DFR393273:DGF393276 DPN393273:DQB393276 DZJ393273:DZX393276 EJF393273:EJT393276 ETB393273:ETP393276 FCX393273:FDL393276 FMT393273:FNH393276 FWP393273:FXD393276 GGL393273:GGZ393276 GQH393273:GQV393276 HAD393273:HAR393276 HJZ393273:HKN393276 HTV393273:HUJ393276 IDR393273:IEF393276 INN393273:IOB393276 IXJ393273:IXX393276 JHF393273:JHT393276 JRB393273:JRP393276 KAX393273:KBL393276 KKT393273:KLH393276 KUP393273:KVD393276 LEL393273:LEZ393276 LOH393273:LOV393276 LYD393273:LYR393276 MHZ393273:MIN393276 MRV393273:MSJ393276 NBR393273:NCF393276 NLN393273:NMB393276 NVJ393273:NVX393276 OFF393273:OFT393276 OPB393273:OPP393276 OYX393273:OZL393276 PIT393273:PJH393276 PSP393273:PTD393276 QCL393273:QCZ393276 QMH393273:QMV393276 QWD393273:QWR393276 RFZ393273:RGN393276 RPV393273:RQJ393276 RZR393273:SAF393276 SJN393273:SKB393276 STJ393273:STX393276 TDF393273:TDT393276 TNB393273:TNP393276 TWX393273:TXL393276 UGT393273:UHH393276 UQP393273:URD393276 VAL393273:VAZ393276 VKH393273:VKV393276 VUD393273:VUR393276 WDZ393273:WEN393276 WNV393273:WOJ393276 WXR393273:WYF393276 BJ458809:BX458812 LF458809:LT458812 VB458809:VP458812 AEX458809:AFL458812 AOT458809:APH458812 AYP458809:AZD458812 BIL458809:BIZ458812 BSH458809:BSV458812 CCD458809:CCR458812 CLZ458809:CMN458812 CVV458809:CWJ458812 DFR458809:DGF458812 DPN458809:DQB458812 DZJ458809:DZX458812 EJF458809:EJT458812 ETB458809:ETP458812 FCX458809:FDL458812 FMT458809:FNH458812 FWP458809:FXD458812 GGL458809:GGZ458812 GQH458809:GQV458812 HAD458809:HAR458812 HJZ458809:HKN458812 HTV458809:HUJ458812 IDR458809:IEF458812 INN458809:IOB458812 IXJ458809:IXX458812 JHF458809:JHT458812 JRB458809:JRP458812 KAX458809:KBL458812 KKT458809:KLH458812 KUP458809:KVD458812 LEL458809:LEZ458812 LOH458809:LOV458812 LYD458809:LYR458812 MHZ458809:MIN458812 MRV458809:MSJ458812 NBR458809:NCF458812 NLN458809:NMB458812 NVJ458809:NVX458812 OFF458809:OFT458812 OPB458809:OPP458812 OYX458809:OZL458812 PIT458809:PJH458812 PSP458809:PTD458812 QCL458809:QCZ458812 QMH458809:QMV458812 QWD458809:QWR458812 RFZ458809:RGN458812 RPV458809:RQJ458812 RZR458809:SAF458812 SJN458809:SKB458812 STJ458809:STX458812 TDF458809:TDT458812 TNB458809:TNP458812 TWX458809:TXL458812 UGT458809:UHH458812 UQP458809:URD458812 VAL458809:VAZ458812 VKH458809:VKV458812 VUD458809:VUR458812 WDZ458809:WEN458812 WNV458809:WOJ458812 WXR458809:WYF458812 BJ524345:BX524348 LF524345:LT524348 VB524345:VP524348 AEX524345:AFL524348 AOT524345:APH524348 AYP524345:AZD524348 BIL524345:BIZ524348 BSH524345:BSV524348 CCD524345:CCR524348 CLZ524345:CMN524348 CVV524345:CWJ524348 DFR524345:DGF524348 DPN524345:DQB524348 DZJ524345:DZX524348 EJF524345:EJT524348 ETB524345:ETP524348 FCX524345:FDL524348 FMT524345:FNH524348 FWP524345:FXD524348 GGL524345:GGZ524348 GQH524345:GQV524348 HAD524345:HAR524348 HJZ524345:HKN524348 HTV524345:HUJ524348 IDR524345:IEF524348 INN524345:IOB524348 IXJ524345:IXX524348 JHF524345:JHT524348 JRB524345:JRP524348 KAX524345:KBL524348 KKT524345:KLH524348 KUP524345:KVD524348 LEL524345:LEZ524348 LOH524345:LOV524348 LYD524345:LYR524348 MHZ524345:MIN524348 MRV524345:MSJ524348 NBR524345:NCF524348 NLN524345:NMB524348 NVJ524345:NVX524348 OFF524345:OFT524348 OPB524345:OPP524348 OYX524345:OZL524348 PIT524345:PJH524348 PSP524345:PTD524348 QCL524345:QCZ524348 QMH524345:QMV524348 QWD524345:QWR524348 RFZ524345:RGN524348 RPV524345:RQJ524348 RZR524345:SAF524348 SJN524345:SKB524348 STJ524345:STX524348 TDF524345:TDT524348 TNB524345:TNP524348 TWX524345:TXL524348 UGT524345:UHH524348 UQP524345:URD524348 VAL524345:VAZ524348 VKH524345:VKV524348 VUD524345:VUR524348 WDZ524345:WEN524348 WNV524345:WOJ524348 WXR524345:WYF524348 BJ589881:BX589884 LF589881:LT589884 VB589881:VP589884 AEX589881:AFL589884 AOT589881:APH589884 AYP589881:AZD589884 BIL589881:BIZ589884 BSH589881:BSV589884 CCD589881:CCR589884 CLZ589881:CMN589884 CVV589881:CWJ589884 DFR589881:DGF589884 DPN589881:DQB589884 DZJ589881:DZX589884 EJF589881:EJT589884 ETB589881:ETP589884 FCX589881:FDL589884 FMT589881:FNH589884 FWP589881:FXD589884 GGL589881:GGZ589884 GQH589881:GQV589884 HAD589881:HAR589884 HJZ589881:HKN589884 HTV589881:HUJ589884 IDR589881:IEF589884 INN589881:IOB589884 IXJ589881:IXX589884 JHF589881:JHT589884 JRB589881:JRP589884 KAX589881:KBL589884 KKT589881:KLH589884 KUP589881:KVD589884 LEL589881:LEZ589884 LOH589881:LOV589884 LYD589881:LYR589884 MHZ589881:MIN589884 MRV589881:MSJ589884 NBR589881:NCF589884 NLN589881:NMB589884 NVJ589881:NVX589884 OFF589881:OFT589884 OPB589881:OPP589884 OYX589881:OZL589884 PIT589881:PJH589884 PSP589881:PTD589884 QCL589881:QCZ589884 QMH589881:QMV589884 QWD589881:QWR589884 RFZ589881:RGN589884 RPV589881:RQJ589884 RZR589881:SAF589884 SJN589881:SKB589884 STJ589881:STX589884 TDF589881:TDT589884 TNB589881:TNP589884 TWX589881:TXL589884 UGT589881:UHH589884 UQP589881:URD589884 VAL589881:VAZ589884 VKH589881:VKV589884 VUD589881:VUR589884 WDZ589881:WEN589884 WNV589881:WOJ589884 WXR589881:WYF589884 BJ655417:BX655420 LF655417:LT655420 VB655417:VP655420 AEX655417:AFL655420 AOT655417:APH655420 AYP655417:AZD655420 BIL655417:BIZ655420 BSH655417:BSV655420 CCD655417:CCR655420 CLZ655417:CMN655420 CVV655417:CWJ655420 DFR655417:DGF655420 DPN655417:DQB655420 DZJ655417:DZX655420 EJF655417:EJT655420 ETB655417:ETP655420 FCX655417:FDL655420 FMT655417:FNH655420 FWP655417:FXD655420 GGL655417:GGZ655420 GQH655417:GQV655420 HAD655417:HAR655420 HJZ655417:HKN655420 HTV655417:HUJ655420 IDR655417:IEF655420 INN655417:IOB655420 IXJ655417:IXX655420 JHF655417:JHT655420 JRB655417:JRP655420 KAX655417:KBL655420 KKT655417:KLH655420 KUP655417:KVD655420 LEL655417:LEZ655420 LOH655417:LOV655420 LYD655417:LYR655420 MHZ655417:MIN655420 MRV655417:MSJ655420 NBR655417:NCF655420 NLN655417:NMB655420 NVJ655417:NVX655420 OFF655417:OFT655420 OPB655417:OPP655420 OYX655417:OZL655420 PIT655417:PJH655420 PSP655417:PTD655420 QCL655417:QCZ655420 QMH655417:QMV655420 QWD655417:QWR655420 RFZ655417:RGN655420 RPV655417:RQJ655420 RZR655417:SAF655420 SJN655417:SKB655420 STJ655417:STX655420 TDF655417:TDT655420 TNB655417:TNP655420 TWX655417:TXL655420 UGT655417:UHH655420 UQP655417:URD655420 VAL655417:VAZ655420 VKH655417:VKV655420 VUD655417:VUR655420 WDZ655417:WEN655420 WNV655417:WOJ655420 WXR655417:WYF655420 BJ720953:BX720956 LF720953:LT720956 VB720953:VP720956 AEX720953:AFL720956 AOT720953:APH720956 AYP720953:AZD720956 BIL720953:BIZ720956 BSH720953:BSV720956 CCD720953:CCR720956 CLZ720953:CMN720956 CVV720953:CWJ720956 DFR720953:DGF720956 DPN720953:DQB720956 DZJ720953:DZX720956 EJF720953:EJT720956 ETB720953:ETP720956 FCX720953:FDL720956 FMT720953:FNH720956 FWP720953:FXD720956 GGL720953:GGZ720956 GQH720953:GQV720956 HAD720953:HAR720956 HJZ720953:HKN720956 HTV720953:HUJ720956 IDR720953:IEF720956 INN720953:IOB720956 IXJ720953:IXX720956 JHF720953:JHT720956 JRB720953:JRP720956 KAX720953:KBL720956 KKT720953:KLH720956 KUP720953:KVD720956 LEL720953:LEZ720956 LOH720953:LOV720956 LYD720953:LYR720956 MHZ720953:MIN720956 MRV720953:MSJ720956 NBR720953:NCF720956 NLN720953:NMB720956 NVJ720953:NVX720956 OFF720953:OFT720956 OPB720953:OPP720956 OYX720953:OZL720956 PIT720953:PJH720956 PSP720953:PTD720956 QCL720953:QCZ720956 QMH720953:QMV720956 QWD720953:QWR720956 RFZ720953:RGN720956 RPV720953:RQJ720956 RZR720953:SAF720956 SJN720953:SKB720956 STJ720953:STX720956 TDF720953:TDT720956 TNB720953:TNP720956 TWX720953:TXL720956 UGT720953:UHH720956 UQP720953:URD720956 VAL720953:VAZ720956 VKH720953:VKV720956 VUD720953:VUR720956 WDZ720953:WEN720956 WNV720953:WOJ720956 WXR720953:WYF720956 BJ786489:BX786492 LF786489:LT786492 VB786489:VP786492 AEX786489:AFL786492 AOT786489:APH786492 AYP786489:AZD786492 BIL786489:BIZ786492 BSH786489:BSV786492 CCD786489:CCR786492 CLZ786489:CMN786492 CVV786489:CWJ786492 DFR786489:DGF786492 DPN786489:DQB786492 DZJ786489:DZX786492 EJF786489:EJT786492 ETB786489:ETP786492 FCX786489:FDL786492 FMT786489:FNH786492 FWP786489:FXD786492 GGL786489:GGZ786492 GQH786489:GQV786492 HAD786489:HAR786492 HJZ786489:HKN786492 HTV786489:HUJ786492 IDR786489:IEF786492 INN786489:IOB786492 IXJ786489:IXX786492 JHF786489:JHT786492 JRB786489:JRP786492 KAX786489:KBL786492 KKT786489:KLH786492 KUP786489:KVD786492 LEL786489:LEZ786492 LOH786489:LOV786492 LYD786489:LYR786492 MHZ786489:MIN786492 MRV786489:MSJ786492 NBR786489:NCF786492 NLN786489:NMB786492 NVJ786489:NVX786492 OFF786489:OFT786492 OPB786489:OPP786492 OYX786489:OZL786492 PIT786489:PJH786492 PSP786489:PTD786492 QCL786489:QCZ786492 QMH786489:QMV786492 QWD786489:QWR786492 RFZ786489:RGN786492 RPV786489:RQJ786492 RZR786489:SAF786492 SJN786489:SKB786492 STJ786489:STX786492 TDF786489:TDT786492 TNB786489:TNP786492 TWX786489:TXL786492 UGT786489:UHH786492 UQP786489:URD786492 VAL786489:VAZ786492 VKH786489:VKV786492 VUD786489:VUR786492 WDZ786489:WEN786492 WNV786489:WOJ786492 WXR786489:WYF786492 BJ852025:BX852028 LF852025:LT852028 VB852025:VP852028 AEX852025:AFL852028 AOT852025:APH852028 AYP852025:AZD852028 BIL852025:BIZ852028 BSH852025:BSV852028 CCD852025:CCR852028 CLZ852025:CMN852028 CVV852025:CWJ852028 DFR852025:DGF852028 DPN852025:DQB852028 DZJ852025:DZX852028 EJF852025:EJT852028 ETB852025:ETP852028 FCX852025:FDL852028 FMT852025:FNH852028 FWP852025:FXD852028 GGL852025:GGZ852028 GQH852025:GQV852028 HAD852025:HAR852028 HJZ852025:HKN852028 HTV852025:HUJ852028 IDR852025:IEF852028 INN852025:IOB852028 IXJ852025:IXX852028 JHF852025:JHT852028 JRB852025:JRP852028 KAX852025:KBL852028 KKT852025:KLH852028 KUP852025:KVD852028 LEL852025:LEZ852028 LOH852025:LOV852028 LYD852025:LYR852028 MHZ852025:MIN852028 MRV852025:MSJ852028 NBR852025:NCF852028 NLN852025:NMB852028 NVJ852025:NVX852028 OFF852025:OFT852028 OPB852025:OPP852028 OYX852025:OZL852028 PIT852025:PJH852028 PSP852025:PTD852028 QCL852025:QCZ852028 QMH852025:QMV852028 QWD852025:QWR852028 RFZ852025:RGN852028 RPV852025:RQJ852028 RZR852025:SAF852028 SJN852025:SKB852028 STJ852025:STX852028 TDF852025:TDT852028 TNB852025:TNP852028 TWX852025:TXL852028 UGT852025:UHH852028 UQP852025:URD852028 VAL852025:VAZ852028 VKH852025:VKV852028 VUD852025:VUR852028 WDZ852025:WEN852028 WNV852025:WOJ852028 WXR852025:WYF852028 BJ917561:BX917564 LF917561:LT917564 VB917561:VP917564 AEX917561:AFL917564 AOT917561:APH917564 AYP917561:AZD917564 BIL917561:BIZ917564 BSH917561:BSV917564 CCD917561:CCR917564 CLZ917561:CMN917564 CVV917561:CWJ917564 DFR917561:DGF917564 DPN917561:DQB917564 DZJ917561:DZX917564 EJF917561:EJT917564 ETB917561:ETP917564 FCX917561:FDL917564 FMT917561:FNH917564 FWP917561:FXD917564 GGL917561:GGZ917564 GQH917561:GQV917564 HAD917561:HAR917564 HJZ917561:HKN917564 HTV917561:HUJ917564 IDR917561:IEF917564 INN917561:IOB917564 IXJ917561:IXX917564 JHF917561:JHT917564 JRB917561:JRP917564 KAX917561:KBL917564 KKT917561:KLH917564 KUP917561:KVD917564 LEL917561:LEZ917564 LOH917561:LOV917564 LYD917561:LYR917564 MHZ917561:MIN917564 MRV917561:MSJ917564 NBR917561:NCF917564 NLN917561:NMB917564 NVJ917561:NVX917564 OFF917561:OFT917564 OPB917561:OPP917564 OYX917561:OZL917564 PIT917561:PJH917564 PSP917561:PTD917564 QCL917561:QCZ917564 QMH917561:QMV917564 QWD917561:QWR917564 RFZ917561:RGN917564 RPV917561:RQJ917564 RZR917561:SAF917564 SJN917561:SKB917564 STJ917561:STX917564 TDF917561:TDT917564 TNB917561:TNP917564 TWX917561:TXL917564 UGT917561:UHH917564 UQP917561:URD917564 VAL917561:VAZ917564 VKH917561:VKV917564 VUD917561:VUR917564 WDZ917561:WEN917564 WNV917561:WOJ917564 WXR917561:WYF917564 BJ983097:BX983100 LF983097:LT983100 VB983097:VP983100 AEX983097:AFL983100 AOT983097:APH983100 AYP983097:AZD983100 BIL983097:BIZ983100 BSH983097:BSV983100 CCD983097:CCR983100 CLZ983097:CMN983100 CVV983097:CWJ983100 DFR983097:DGF983100 DPN983097:DQB983100 DZJ983097:DZX983100 EJF983097:EJT983100 ETB983097:ETP983100 FCX983097:FDL983100 FMT983097:FNH983100 FWP983097:FXD983100 GGL983097:GGZ983100 GQH983097:GQV983100 HAD983097:HAR983100 HJZ983097:HKN983100 HTV983097:HUJ983100 IDR983097:IEF983100 INN983097:IOB983100 IXJ983097:IXX983100 JHF983097:JHT983100 JRB983097:JRP983100 KAX983097:KBL983100 KKT983097:KLH983100 KUP983097:KVD983100 LEL983097:LEZ983100 LOH983097:LOV983100 LYD983097:LYR983100 MHZ983097:MIN983100 MRV983097:MSJ983100 NBR983097:NCF983100 NLN983097:NMB983100 NVJ983097:NVX983100 OFF983097:OFT983100 OPB983097:OPP983100 OYX983097:OZL983100 PIT983097:PJH983100 PSP983097:PTD983100 QCL983097:QCZ983100 QMH983097:QMV983100 QWD983097:QWR983100 RFZ983097:RGN983100 RPV983097:RQJ983100 RZR983097:SAF983100 SJN983097:SKB983100 STJ983097:STX983100 TDF983097:TDT983100 TNB983097:TNP983100 TWX983097:TXL983100 UGT983097:UHH983100 UQP983097:URD983100 VAL983097:VAZ983100 VKH983097:VKV983100 VUD983097:VUR983100 WDZ983097:WEN983100 WNV983097:WOJ983100 WXR983097:WYF983100 BJ63:BX64 LF63:LT64 VB63:VP64 AEX63:AFL64 AOT63:APH64 AYP63:AZD64 BIL63:BIZ64 BSH63:BSV64 CCD63:CCR64 CLZ63:CMN64 CVV63:CWJ64 DFR63:DGF64 DPN63:DQB64 DZJ63:DZX64 EJF63:EJT64 ETB63:ETP64 FCX63:FDL64 FMT63:FNH64 FWP63:FXD64 GGL63:GGZ64 GQH63:GQV64 HAD63:HAR64 HJZ63:HKN64 HTV63:HUJ64 IDR63:IEF64 INN63:IOB64 IXJ63:IXX64 JHF63:JHT64 JRB63:JRP64 KAX63:KBL64 KKT63:KLH64 KUP63:KVD64 LEL63:LEZ64 LOH63:LOV64 LYD63:LYR64 MHZ63:MIN64 MRV63:MSJ64 NBR63:NCF64 NLN63:NMB64 NVJ63:NVX64 OFF63:OFT64 OPB63:OPP64 OYX63:OZL64 PIT63:PJH64 PSP63:PTD64 QCL63:QCZ64 QMH63:QMV64 QWD63:QWR64 RFZ63:RGN64 RPV63:RQJ64 RZR63:SAF64 SJN63:SKB64 STJ63:STX64 TDF63:TDT64 TNB63:TNP64 TWX63:TXL64 UGT63:UHH64 UQP63:URD64 VAL63:VAZ64 VKH63:VKV64 VUD63:VUR64 WDZ63:WEN64 WNV63:WOJ64 WXR63:WYF64 BJ65599:BX65600 LF65599:LT65600 VB65599:VP65600 AEX65599:AFL65600 AOT65599:APH65600 AYP65599:AZD65600 BIL65599:BIZ65600 BSH65599:BSV65600 CCD65599:CCR65600 CLZ65599:CMN65600 CVV65599:CWJ65600 DFR65599:DGF65600 DPN65599:DQB65600 DZJ65599:DZX65600 EJF65599:EJT65600 ETB65599:ETP65600 FCX65599:FDL65600 FMT65599:FNH65600 FWP65599:FXD65600 GGL65599:GGZ65600 GQH65599:GQV65600 HAD65599:HAR65600 HJZ65599:HKN65600 HTV65599:HUJ65600 IDR65599:IEF65600 INN65599:IOB65600 IXJ65599:IXX65600 JHF65599:JHT65600 JRB65599:JRP65600 KAX65599:KBL65600 KKT65599:KLH65600 KUP65599:KVD65600 LEL65599:LEZ65600 LOH65599:LOV65600 LYD65599:LYR65600 MHZ65599:MIN65600 MRV65599:MSJ65600 NBR65599:NCF65600 NLN65599:NMB65600 NVJ65599:NVX65600 OFF65599:OFT65600 OPB65599:OPP65600 OYX65599:OZL65600 PIT65599:PJH65600 PSP65599:PTD65600 QCL65599:QCZ65600 QMH65599:QMV65600 QWD65599:QWR65600 RFZ65599:RGN65600 RPV65599:RQJ65600 RZR65599:SAF65600 SJN65599:SKB65600 STJ65599:STX65600 TDF65599:TDT65600 TNB65599:TNP65600 TWX65599:TXL65600 UGT65599:UHH65600 UQP65599:URD65600 VAL65599:VAZ65600 VKH65599:VKV65600 VUD65599:VUR65600 WDZ65599:WEN65600 WNV65599:WOJ65600 WXR65599:WYF65600 BJ131135:BX131136 LF131135:LT131136 VB131135:VP131136 AEX131135:AFL131136 AOT131135:APH131136 AYP131135:AZD131136 BIL131135:BIZ131136 BSH131135:BSV131136 CCD131135:CCR131136 CLZ131135:CMN131136 CVV131135:CWJ131136 DFR131135:DGF131136 DPN131135:DQB131136 DZJ131135:DZX131136 EJF131135:EJT131136 ETB131135:ETP131136 FCX131135:FDL131136 FMT131135:FNH131136 FWP131135:FXD131136 GGL131135:GGZ131136 GQH131135:GQV131136 HAD131135:HAR131136 HJZ131135:HKN131136 HTV131135:HUJ131136 IDR131135:IEF131136 INN131135:IOB131136 IXJ131135:IXX131136 JHF131135:JHT131136 JRB131135:JRP131136 KAX131135:KBL131136 KKT131135:KLH131136 KUP131135:KVD131136 LEL131135:LEZ131136 LOH131135:LOV131136 LYD131135:LYR131136 MHZ131135:MIN131136 MRV131135:MSJ131136 NBR131135:NCF131136 NLN131135:NMB131136 NVJ131135:NVX131136 OFF131135:OFT131136 OPB131135:OPP131136 OYX131135:OZL131136 PIT131135:PJH131136 PSP131135:PTD131136 QCL131135:QCZ131136 QMH131135:QMV131136 QWD131135:QWR131136 RFZ131135:RGN131136 RPV131135:RQJ131136 RZR131135:SAF131136 SJN131135:SKB131136 STJ131135:STX131136 TDF131135:TDT131136 TNB131135:TNP131136 TWX131135:TXL131136 UGT131135:UHH131136 UQP131135:URD131136 VAL131135:VAZ131136 VKH131135:VKV131136 VUD131135:VUR131136 WDZ131135:WEN131136 WNV131135:WOJ131136 WXR131135:WYF131136 BJ196671:BX196672 LF196671:LT196672 VB196671:VP196672 AEX196671:AFL196672 AOT196671:APH196672 AYP196671:AZD196672 BIL196671:BIZ196672 BSH196671:BSV196672 CCD196671:CCR196672 CLZ196671:CMN196672 CVV196671:CWJ196672 DFR196671:DGF196672 DPN196671:DQB196672 DZJ196671:DZX196672 EJF196671:EJT196672 ETB196671:ETP196672 FCX196671:FDL196672 FMT196671:FNH196672 FWP196671:FXD196672 GGL196671:GGZ196672 GQH196671:GQV196672 HAD196671:HAR196672 HJZ196671:HKN196672 HTV196671:HUJ196672 IDR196671:IEF196672 INN196671:IOB196672 IXJ196671:IXX196672 JHF196671:JHT196672 JRB196671:JRP196672 KAX196671:KBL196672 KKT196671:KLH196672 KUP196671:KVD196672 LEL196671:LEZ196672 LOH196671:LOV196672 LYD196671:LYR196672 MHZ196671:MIN196672 MRV196671:MSJ196672 NBR196671:NCF196672 NLN196671:NMB196672 NVJ196671:NVX196672 OFF196671:OFT196672 OPB196671:OPP196672 OYX196671:OZL196672 PIT196671:PJH196672 PSP196671:PTD196672 QCL196671:QCZ196672 QMH196671:QMV196672 QWD196671:QWR196672 RFZ196671:RGN196672 RPV196671:RQJ196672 RZR196671:SAF196672 SJN196671:SKB196672 STJ196671:STX196672 TDF196671:TDT196672 TNB196671:TNP196672 TWX196671:TXL196672 UGT196671:UHH196672 UQP196671:URD196672 VAL196671:VAZ196672 VKH196671:VKV196672 VUD196671:VUR196672 WDZ196671:WEN196672 WNV196671:WOJ196672 WXR196671:WYF196672 BJ262207:BX262208 LF262207:LT262208 VB262207:VP262208 AEX262207:AFL262208 AOT262207:APH262208 AYP262207:AZD262208 BIL262207:BIZ262208 BSH262207:BSV262208 CCD262207:CCR262208 CLZ262207:CMN262208 CVV262207:CWJ262208 DFR262207:DGF262208 DPN262207:DQB262208 DZJ262207:DZX262208 EJF262207:EJT262208 ETB262207:ETP262208 FCX262207:FDL262208 FMT262207:FNH262208 FWP262207:FXD262208 GGL262207:GGZ262208 GQH262207:GQV262208 HAD262207:HAR262208 HJZ262207:HKN262208 HTV262207:HUJ262208 IDR262207:IEF262208 INN262207:IOB262208 IXJ262207:IXX262208 JHF262207:JHT262208 JRB262207:JRP262208 KAX262207:KBL262208 KKT262207:KLH262208 KUP262207:KVD262208 LEL262207:LEZ262208 LOH262207:LOV262208 LYD262207:LYR262208 MHZ262207:MIN262208 MRV262207:MSJ262208 NBR262207:NCF262208 NLN262207:NMB262208 NVJ262207:NVX262208 OFF262207:OFT262208 OPB262207:OPP262208 OYX262207:OZL262208 PIT262207:PJH262208 PSP262207:PTD262208 QCL262207:QCZ262208 QMH262207:QMV262208 QWD262207:QWR262208 RFZ262207:RGN262208 RPV262207:RQJ262208 RZR262207:SAF262208 SJN262207:SKB262208 STJ262207:STX262208 TDF262207:TDT262208 TNB262207:TNP262208 TWX262207:TXL262208 UGT262207:UHH262208 UQP262207:URD262208 VAL262207:VAZ262208 VKH262207:VKV262208 VUD262207:VUR262208 WDZ262207:WEN262208 WNV262207:WOJ262208 WXR262207:WYF262208 BJ327743:BX327744 LF327743:LT327744 VB327743:VP327744 AEX327743:AFL327744 AOT327743:APH327744 AYP327743:AZD327744 BIL327743:BIZ327744 BSH327743:BSV327744 CCD327743:CCR327744 CLZ327743:CMN327744 CVV327743:CWJ327744 DFR327743:DGF327744 DPN327743:DQB327744 DZJ327743:DZX327744 EJF327743:EJT327744 ETB327743:ETP327744 FCX327743:FDL327744 FMT327743:FNH327744 FWP327743:FXD327744 GGL327743:GGZ327744 GQH327743:GQV327744 HAD327743:HAR327744 HJZ327743:HKN327744 HTV327743:HUJ327744 IDR327743:IEF327744 INN327743:IOB327744 IXJ327743:IXX327744 JHF327743:JHT327744 JRB327743:JRP327744 KAX327743:KBL327744 KKT327743:KLH327744 KUP327743:KVD327744 LEL327743:LEZ327744 LOH327743:LOV327744 LYD327743:LYR327744 MHZ327743:MIN327744 MRV327743:MSJ327744 NBR327743:NCF327744 NLN327743:NMB327744 NVJ327743:NVX327744 OFF327743:OFT327744 OPB327743:OPP327744 OYX327743:OZL327744 PIT327743:PJH327744 PSP327743:PTD327744 QCL327743:QCZ327744 QMH327743:QMV327744 QWD327743:QWR327744 RFZ327743:RGN327744 RPV327743:RQJ327744 RZR327743:SAF327744 SJN327743:SKB327744 STJ327743:STX327744 TDF327743:TDT327744 TNB327743:TNP327744 TWX327743:TXL327744 UGT327743:UHH327744 UQP327743:URD327744 VAL327743:VAZ327744 VKH327743:VKV327744 VUD327743:VUR327744 WDZ327743:WEN327744 WNV327743:WOJ327744 WXR327743:WYF327744 BJ393279:BX393280 LF393279:LT393280 VB393279:VP393280 AEX393279:AFL393280 AOT393279:APH393280 AYP393279:AZD393280 BIL393279:BIZ393280 BSH393279:BSV393280 CCD393279:CCR393280 CLZ393279:CMN393280 CVV393279:CWJ393280 DFR393279:DGF393280 DPN393279:DQB393280 DZJ393279:DZX393280 EJF393279:EJT393280 ETB393279:ETP393280 FCX393279:FDL393280 FMT393279:FNH393280 FWP393279:FXD393280 GGL393279:GGZ393280 GQH393279:GQV393280 HAD393279:HAR393280 HJZ393279:HKN393280 HTV393279:HUJ393280 IDR393279:IEF393280 INN393279:IOB393280 IXJ393279:IXX393280 JHF393279:JHT393280 JRB393279:JRP393280 KAX393279:KBL393280 KKT393279:KLH393280 KUP393279:KVD393280 LEL393279:LEZ393280 LOH393279:LOV393280 LYD393279:LYR393280 MHZ393279:MIN393280 MRV393279:MSJ393280 NBR393279:NCF393280 NLN393279:NMB393280 NVJ393279:NVX393280 OFF393279:OFT393280 OPB393279:OPP393280 OYX393279:OZL393280 PIT393279:PJH393280 PSP393279:PTD393280 QCL393279:QCZ393280 QMH393279:QMV393280 QWD393279:QWR393280 RFZ393279:RGN393280 RPV393279:RQJ393280 RZR393279:SAF393280 SJN393279:SKB393280 STJ393279:STX393280 TDF393279:TDT393280 TNB393279:TNP393280 TWX393279:TXL393280 UGT393279:UHH393280 UQP393279:URD393280 VAL393279:VAZ393280 VKH393279:VKV393280 VUD393279:VUR393280 WDZ393279:WEN393280 WNV393279:WOJ393280 WXR393279:WYF393280 BJ458815:BX458816 LF458815:LT458816 VB458815:VP458816 AEX458815:AFL458816 AOT458815:APH458816 AYP458815:AZD458816 BIL458815:BIZ458816 BSH458815:BSV458816 CCD458815:CCR458816 CLZ458815:CMN458816 CVV458815:CWJ458816 DFR458815:DGF458816 DPN458815:DQB458816 DZJ458815:DZX458816 EJF458815:EJT458816 ETB458815:ETP458816 FCX458815:FDL458816 FMT458815:FNH458816 FWP458815:FXD458816 GGL458815:GGZ458816 GQH458815:GQV458816 HAD458815:HAR458816 HJZ458815:HKN458816 HTV458815:HUJ458816 IDR458815:IEF458816 INN458815:IOB458816 IXJ458815:IXX458816 JHF458815:JHT458816 JRB458815:JRP458816 KAX458815:KBL458816 KKT458815:KLH458816 KUP458815:KVD458816 LEL458815:LEZ458816 LOH458815:LOV458816 LYD458815:LYR458816 MHZ458815:MIN458816 MRV458815:MSJ458816 NBR458815:NCF458816 NLN458815:NMB458816 NVJ458815:NVX458816 OFF458815:OFT458816 OPB458815:OPP458816 OYX458815:OZL458816 PIT458815:PJH458816 PSP458815:PTD458816 QCL458815:QCZ458816 QMH458815:QMV458816 QWD458815:QWR458816 RFZ458815:RGN458816 RPV458815:RQJ458816 RZR458815:SAF458816 SJN458815:SKB458816 STJ458815:STX458816 TDF458815:TDT458816 TNB458815:TNP458816 TWX458815:TXL458816 UGT458815:UHH458816 UQP458815:URD458816 VAL458815:VAZ458816 VKH458815:VKV458816 VUD458815:VUR458816 WDZ458815:WEN458816 WNV458815:WOJ458816 WXR458815:WYF458816 BJ524351:BX524352 LF524351:LT524352 VB524351:VP524352 AEX524351:AFL524352 AOT524351:APH524352 AYP524351:AZD524352 BIL524351:BIZ524352 BSH524351:BSV524352 CCD524351:CCR524352 CLZ524351:CMN524352 CVV524351:CWJ524352 DFR524351:DGF524352 DPN524351:DQB524352 DZJ524351:DZX524352 EJF524351:EJT524352 ETB524351:ETP524352 FCX524351:FDL524352 FMT524351:FNH524352 FWP524351:FXD524352 GGL524351:GGZ524352 GQH524351:GQV524352 HAD524351:HAR524352 HJZ524351:HKN524352 HTV524351:HUJ524352 IDR524351:IEF524352 INN524351:IOB524352 IXJ524351:IXX524352 JHF524351:JHT524352 JRB524351:JRP524352 KAX524351:KBL524352 KKT524351:KLH524352 KUP524351:KVD524352 LEL524351:LEZ524352 LOH524351:LOV524352 LYD524351:LYR524352 MHZ524351:MIN524352 MRV524351:MSJ524352 NBR524351:NCF524352 NLN524351:NMB524352 NVJ524351:NVX524352 OFF524351:OFT524352 OPB524351:OPP524352 OYX524351:OZL524352 PIT524351:PJH524352 PSP524351:PTD524352 QCL524351:QCZ524352 QMH524351:QMV524352 QWD524351:QWR524352 RFZ524351:RGN524352 RPV524351:RQJ524352 RZR524351:SAF524352 SJN524351:SKB524352 STJ524351:STX524352 TDF524351:TDT524352 TNB524351:TNP524352 TWX524351:TXL524352 UGT524351:UHH524352 UQP524351:URD524352 VAL524351:VAZ524352 VKH524351:VKV524352 VUD524351:VUR524352 WDZ524351:WEN524352 WNV524351:WOJ524352 WXR524351:WYF524352 BJ589887:BX589888 LF589887:LT589888 VB589887:VP589888 AEX589887:AFL589888 AOT589887:APH589888 AYP589887:AZD589888 BIL589887:BIZ589888 BSH589887:BSV589888 CCD589887:CCR589888 CLZ589887:CMN589888 CVV589887:CWJ589888 DFR589887:DGF589888 DPN589887:DQB589888 DZJ589887:DZX589888 EJF589887:EJT589888 ETB589887:ETP589888 FCX589887:FDL589888 FMT589887:FNH589888 FWP589887:FXD589888 GGL589887:GGZ589888 GQH589887:GQV589888 HAD589887:HAR589888 HJZ589887:HKN589888 HTV589887:HUJ589888 IDR589887:IEF589888 INN589887:IOB589888 IXJ589887:IXX589888 JHF589887:JHT589888 JRB589887:JRP589888 KAX589887:KBL589888 KKT589887:KLH589888 KUP589887:KVD589888 LEL589887:LEZ589888 LOH589887:LOV589888 LYD589887:LYR589888 MHZ589887:MIN589888 MRV589887:MSJ589888 NBR589887:NCF589888 NLN589887:NMB589888 NVJ589887:NVX589888 OFF589887:OFT589888 OPB589887:OPP589888 OYX589887:OZL589888 PIT589887:PJH589888 PSP589887:PTD589888 QCL589887:QCZ589888 QMH589887:QMV589888 QWD589887:QWR589888 RFZ589887:RGN589888 RPV589887:RQJ589888 RZR589887:SAF589888 SJN589887:SKB589888 STJ589887:STX589888 TDF589887:TDT589888 TNB589887:TNP589888 TWX589887:TXL589888 UGT589887:UHH589888 UQP589887:URD589888 VAL589887:VAZ589888 VKH589887:VKV589888 VUD589887:VUR589888 WDZ589887:WEN589888 WNV589887:WOJ589888 WXR589887:WYF589888 BJ655423:BX655424 LF655423:LT655424 VB655423:VP655424 AEX655423:AFL655424 AOT655423:APH655424 AYP655423:AZD655424 BIL655423:BIZ655424 BSH655423:BSV655424 CCD655423:CCR655424 CLZ655423:CMN655424 CVV655423:CWJ655424 DFR655423:DGF655424 DPN655423:DQB655424 DZJ655423:DZX655424 EJF655423:EJT655424 ETB655423:ETP655424 FCX655423:FDL655424 FMT655423:FNH655424 FWP655423:FXD655424 GGL655423:GGZ655424 GQH655423:GQV655424 HAD655423:HAR655424 HJZ655423:HKN655424 HTV655423:HUJ655424 IDR655423:IEF655424 INN655423:IOB655424 IXJ655423:IXX655424 JHF655423:JHT655424 JRB655423:JRP655424 KAX655423:KBL655424 KKT655423:KLH655424 KUP655423:KVD655424 LEL655423:LEZ655424 LOH655423:LOV655424 LYD655423:LYR655424 MHZ655423:MIN655424 MRV655423:MSJ655424 NBR655423:NCF655424 NLN655423:NMB655424 NVJ655423:NVX655424 OFF655423:OFT655424 OPB655423:OPP655424 OYX655423:OZL655424 PIT655423:PJH655424 PSP655423:PTD655424 QCL655423:QCZ655424 QMH655423:QMV655424 QWD655423:QWR655424 RFZ655423:RGN655424 RPV655423:RQJ655424 RZR655423:SAF655424 SJN655423:SKB655424 STJ655423:STX655424 TDF655423:TDT655424 TNB655423:TNP655424 TWX655423:TXL655424 UGT655423:UHH655424 UQP655423:URD655424 VAL655423:VAZ655424 VKH655423:VKV655424 VUD655423:VUR655424 WDZ655423:WEN655424 WNV655423:WOJ655424 WXR655423:WYF655424 BJ720959:BX720960 LF720959:LT720960 VB720959:VP720960 AEX720959:AFL720960 AOT720959:APH720960 AYP720959:AZD720960 BIL720959:BIZ720960 BSH720959:BSV720960 CCD720959:CCR720960 CLZ720959:CMN720960 CVV720959:CWJ720960 DFR720959:DGF720960 DPN720959:DQB720960 DZJ720959:DZX720960 EJF720959:EJT720960 ETB720959:ETP720960 FCX720959:FDL720960 FMT720959:FNH720960 FWP720959:FXD720960 GGL720959:GGZ720960 GQH720959:GQV720960 HAD720959:HAR720960 HJZ720959:HKN720960 HTV720959:HUJ720960 IDR720959:IEF720960 INN720959:IOB720960 IXJ720959:IXX720960 JHF720959:JHT720960 JRB720959:JRP720960 KAX720959:KBL720960 KKT720959:KLH720960 KUP720959:KVD720960 LEL720959:LEZ720960 LOH720959:LOV720960 LYD720959:LYR720960 MHZ720959:MIN720960 MRV720959:MSJ720960 NBR720959:NCF720960 NLN720959:NMB720960 NVJ720959:NVX720960 OFF720959:OFT720960 OPB720959:OPP720960 OYX720959:OZL720960 PIT720959:PJH720960 PSP720959:PTD720960 QCL720959:QCZ720960 QMH720959:QMV720960 QWD720959:QWR720960 RFZ720959:RGN720960 RPV720959:RQJ720960 RZR720959:SAF720960 SJN720959:SKB720960 STJ720959:STX720960 TDF720959:TDT720960 TNB720959:TNP720960 TWX720959:TXL720960 UGT720959:UHH720960 UQP720959:URD720960 VAL720959:VAZ720960 VKH720959:VKV720960 VUD720959:VUR720960 WDZ720959:WEN720960 WNV720959:WOJ720960 WXR720959:WYF720960 BJ786495:BX786496 LF786495:LT786496 VB786495:VP786496 AEX786495:AFL786496 AOT786495:APH786496 AYP786495:AZD786496 BIL786495:BIZ786496 BSH786495:BSV786496 CCD786495:CCR786496 CLZ786495:CMN786496 CVV786495:CWJ786496 DFR786495:DGF786496 DPN786495:DQB786496 DZJ786495:DZX786496 EJF786495:EJT786496 ETB786495:ETP786496 FCX786495:FDL786496 FMT786495:FNH786496 FWP786495:FXD786496 GGL786495:GGZ786496 GQH786495:GQV786496 HAD786495:HAR786496 HJZ786495:HKN786496 HTV786495:HUJ786496 IDR786495:IEF786496 INN786495:IOB786496 IXJ786495:IXX786496 JHF786495:JHT786496 JRB786495:JRP786496 KAX786495:KBL786496 KKT786495:KLH786496 KUP786495:KVD786496 LEL786495:LEZ786496 LOH786495:LOV786496 LYD786495:LYR786496 MHZ786495:MIN786496 MRV786495:MSJ786496 NBR786495:NCF786496 NLN786495:NMB786496 NVJ786495:NVX786496 OFF786495:OFT786496 OPB786495:OPP786496 OYX786495:OZL786496 PIT786495:PJH786496 PSP786495:PTD786496 QCL786495:QCZ786496 QMH786495:QMV786496 QWD786495:QWR786496 RFZ786495:RGN786496 RPV786495:RQJ786496 RZR786495:SAF786496 SJN786495:SKB786496 STJ786495:STX786496 TDF786495:TDT786496 TNB786495:TNP786496 TWX786495:TXL786496 UGT786495:UHH786496 UQP786495:URD786496 VAL786495:VAZ786496 VKH786495:VKV786496 VUD786495:VUR786496 WDZ786495:WEN786496 WNV786495:WOJ786496 WXR786495:WYF786496 BJ852031:BX852032 LF852031:LT852032 VB852031:VP852032 AEX852031:AFL852032 AOT852031:APH852032 AYP852031:AZD852032 BIL852031:BIZ852032 BSH852031:BSV852032 CCD852031:CCR852032 CLZ852031:CMN852032 CVV852031:CWJ852032 DFR852031:DGF852032 DPN852031:DQB852032 DZJ852031:DZX852032 EJF852031:EJT852032 ETB852031:ETP852032 FCX852031:FDL852032 FMT852031:FNH852032 FWP852031:FXD852032 GGL852031:GGZ852032 GQH852031:GQV852032 HAD852031:HAR852032 HJZ852031:HKN852032 HTV852031:HUJ852032 IDR852031:IEF852032 INN852031:IOB852032 IXJ852031:IXX852032 JHF852031:JHT852032 JRB852031:JRP852032 KAX852031:KBL852032 KKT852031:KLH852032 KUP852031:KVD852032 LEL852031:LEZ852032 LOH852031:LOV852032 LYD852031:LYR852032 MHZ852031:MIN852032 MRV852031:MSJ852032 NBR852031:NCF852032 NLN852031:NMB852032 NVJ852031:NVX852032 OFF852031:OFT852032 OPB852031:OPP852032 OYX852031:OZL852032 PIT852031:PJH852032 PSP852031:PTD852032 QCL852031:QCZ852032 QMH852031:QMV852032 QWD852031:QWR852032 RFZ852031:RGN852032 RPV852031:RQJ852032 RZR852031:SAF852032 SJN852031:SKB852032 STJ852031:STX852032 TDF852031:TDT852032 TNB852031:TNP852032 TWX852031:TXL852032 UGT852031:UHH852032 UQP852031:URD852032 VAL852031:VAZ852032 VKH852031:VKV852032 VUD852031:VUR852032 WDZ852031:WEN852032 WNV852031:WOJ852032 WXR852031:WYF852032 BJ917567:BX917568 LF917567:LT917568 VB917567:VP917568 AEX917567:AFL917568 AOT917567:APH917568 AYP917567:AZD917568 BIL917567:BIZ917568 BSH917567:BSV917568 CCD917567:CCR917568 CLZ917567:CMN917568 CVV917567:CWJ917568 DFR917567:DGF917568 DPN917567:DQB917568 DZJ917567:DZX917568 EJF917567:EJT917568 ETB917567:ETP917568 FCX917567:FDL917568 FMT917567:FNH917568 FWP917567:FXD917568 GGL917567:GGZ917568 GQH917567:GQV917568 HAD917567:HAR917568 HJZ917567:HKN917568 HTV917567:HUJ917568 IDR917567:IEF917568 INN917567:IOB917568 IXJ917567:IXX917568 JHF917567:JHT917568 JRB917567:JRP917568 KAX917567:KBL917568 KKT917567:KLH917568 KUP917567:KVD917568 LEL917567:LEZ917568 LOH917567:LOV917568 LYD917567:LYR917568 MHZ917567:MIN917568 MRV917567:MSJ917568 NBR917567:NCF917568 NLN917567:NMB917568 NVJ917567:NVX917568 OFF917567:OFT917568 OPB917567:OPP917568 OYX917567:OZL917568 PIT917567:PJH917568 PSP917567:PTD917568 QCL917567:QCZ917568 QMH917567:QMV917568 QWD917567:QWR917568 RFZ917567:RGN917568 RPV917567:RQJ917568 RZR917567:SAF917568 SJN917567:SKB917568 STJ917567:STX917568 TDF917567:TDT917568 TNB917567:TNP917568 TWX917567:TXL917568 UGT917567:UHH917568 UQP917567:URD917568 VAL917567:VAZ917568 VKH917567:VKV917568 VUD917567:VUR917568 WDZ917567:WEN917568 WNV917567:WOJ917568 WXR917567:WYF917568 BJ983103:BX983104 LF983103:LT983104 VB983103:VP983104 AEX983103:AFL983104 AOT983103:APH983104 AYP983103:AZD983104 BIL983103:BIZ983104 BSH983103:BSV983104 CCD983103:CCR983104 CLZ983103:CMN983104 CVV983103:CWJ983104 DFR983103:DGF983104 DPN983103:DQB983104 DZJ983103:DZX983104 EJF983103:EJT983104 ETB983103:ETP983104 FCX983103:FDL983104 FMT983103:FNH983104 FWP983103:FXD983104 GGL983103:GGZ983104 GQH983103:GQV983104 HAD983103:HAR983104 HJZ983103:HKN983104 HTV983103:HUJ983104 IDR983103:IEF983104 INN983103:IOB983104 IXJ983103:IXX983104 JHF983103:JHT983104 JRB983103:JRP983104 KAX983103:KBL983104 KKT983103:KLH983104 KUP983103:KVD983104 LEL983103:LEZ983104 LOH983103:LOV983104 LYD983103:LYR983104 MHZ983103:MIN983104 MRV983103:MSJ983104 NBR983103:NCF983104 NLN983103:NMB983104 NVJ983103:NVX983104 OFF983103:OFT983104 OPB983103:OPP983104 OYX983103:OZL983104 PIT983103:PJH983104 PSP983103:PTD983104 QCL983103:QCZ983104 QMH983103:QMV983104 QWD983103:QWR983104 RFZ983103:RGN983104 RPV983103:RQJ983104 RZR983103:SAF983104 SJN983103:SKB983104 STJ983103:STX983104 TDF983103:TDT983104 TNB983103:TNP983104 TWX983103:TXL983104 UGT983103:UHH983104 UQP983103:URD983104 VAL983103:VAZ983104 VKH983103:VKV983104 VUD983103:VUR983104 WDZ983103:WEN983104 WNV983103:WOJ983104 WXR983103:WYF983104 BK31 LG31 VC31 AEY31 AOU31 AYQ31 BIM31 BSI31 CCE31 CMA31 CVW31 DFS31 DPO31 DZK31 EJG31 ETC31 FCY31 FMU31 FWQ31 GGM31 GQI31 HAE31 HKA31 HTW31 IDS31 INO31 IXK31 JHG31 JRC31 KAY31 KKU31 KUQ31 LEM31 LOI31 LYE31 MIA31 MRW31 NBS31 NLO31 NVK31 OFG31 OPC31 OYY31 PIU31 PSQ31 QCM31 QMI31 QWE31 RGA31 RPW31 RZS31 SJO31 STK31 TDG31 TNC31 TWY31 UGU31 UQQ31 VAM31 VKI31 VUE31 WEA31 WNW31 WXS31 BK65567 LG65567 VC65567 AEY65567 AOU65567 AYQ65567 BIM65567 BSI65567 CCE65567 CMA65567 CVW65567 DFS65567 DPO65567 DZK65567 EJG65567 ETC65567 FCY65567 FMU65567 FWQ65567 GGM65567 GQI65567 HAE65567 HKA65567 HTW65567 IDS65567 INO65567 IXK65567 JHG65567 JRC65567 KAY65567 KKU65567 KUQ65567 LEM65567 LOI65567 LYE65567 MIA65567 MRW65567 NBS65567 NLO65567 NVK65567 OFG65567 OPC65567 OYY65567 PIU65567 PSQ65567 QCM65567 QMI65567 QWE65567 RGA65567 RPW65567 RZS65567 SJO65567 STK65567 TDG65567 TNC65567 TWY65567 UGU65567 UQQ65567 VAM65567 VKI65567 VUE65567 WEA65567 WNW65567 WXS65567 BK131103 LG131103 VC131103 AEY131103 AOU131103 AYQ131103 BIM131103 BSI131103 CCE131103 CMA131103 CVW131103 DFS131103 DPO131103 DZK131103 EJG131103 ETC131103 FCY131103 FMU131103 FWQ131103 GGM131103 GQI131103 HAE131103 HKA131103 HTW131103 IDS131103 INO131103 IXK131103 JHG131103 JRC131103 KAY131103 KKU131103 KUQ131103 LEM131103 LOI131103 LYE131103 MIA131103 MRW131103 NBS131103 NLO131103 NVK131103 OFG131103 OPC131103 OYY131103 PIU131103 PSQ131103 QCM131103 QMI131103 QWE131103 RGA131103 RPW131103 RZS131103 SJO131103 STK131103 TDG131103 TNC131103 TWY131103 UGU131103 UQQ131103 VAM131103 VKI131103 VUE131103 WEA131103 WNW131103 WXS131103 BK196639 LG196639 VC196639 AEY196639 AOU196639 AYQ196639 BIM196639 BSI196639 CCE196639 CMA196639 CVW196639 DFS196639 DPO196639 DZK196639 EJG196639 ETC196639 FCY196639 FMU196639 FWQ196639 GGM196639 GQI196639 HAE196639 HKA196639 HTW196639 IDS196639 INO196639 IXK196639 JHG196639 JRC196639 KAY196639 KKU196639 KUQ196639 LEM196639 LOI196639 LYE196639 MIA196639 MRW196639 NBS196639 NLO196639 NVK196639 OFG196639 OPC196639 OYY196639 PIU196639 PSQ196639 QCM196639 QMI196639 QWE196639 RGA196639 RPW196639 RZS196639 SJO196639 STK196639 TDG196639 TNC196639 TWY196639 UGU196639 UQQ196639 VAM196639 VKI196639 VUE196639 WEA196639 WNW196639 WXS196639 BK262175 LG262175 VC262175 AEY262175 AOU262175 AYQ262175 BIM262175 BSI262175 CCE262175 CMA262175 CVW262175 DFS262175 DPO262175 DZK262175 EJG262175 ETC262175 FCY262175 FMU262175 FWQ262175 GGM262175 GQI262175 HAE262175 HKA262175 HTW262175 IDS262175 INO262175 IXK262175 JHG262175 JRC262175 KAY262175 KKU262175 KUQ262175 LEM262175 LOI262175 LYE262175 MIA262175 MRW262175 NBS262175 NLO262175 NVK262175 OFG262175 OPC262175 OYY262175 PIU262175 PSQ262175 QCM262175 QMI262175 QWE262175 RGA262175 RPW262175 RZS262175 SJO262175 STK262175 TDG262175 TNC262175 TWY262175 UGU262175 UQQ262175 VAM262175 VKI262175 VUE262175 WEA262175 WNW262175 WXS262175 BK327711 LG327711 VC327711 AEY327711 AOU327711 AYQ327711 BIM327711 BSI327711 CCE327711 CMA327711 CVW327711 DFS327711 DPO327711 DZK327711 EJG327711 ETC327711 FCY327711 FMU327711 FWQ327711 GGM327711 GQI327711 HAE327711 HKA327711 HTW327711 IDS327711 INO327711 IXK327711 JHG327711 JRC327711 KAY327711 KKU327711 KUQ327711 LEM327711 LOI327711 LYE327711 MIA327711 MRW327711 NBS327711 NLO327711 NVK327711 OFG327711 OPC327711 OYY327711 PIU327711 PSQ327711 QCM327711 QMI327711 QWE327711 RGA327711 RPW327711 RZS327711 SJO327711 STK327711 TDG327711 TNC327711 TWY327711 UGU327711 UQQ327711 VAM327711 VKI327711 VUE327711 WEA327711 WNW327711 WXS327711 BK393247 LG393247 VC393247 AEY393247 AOU393247 AYQ393247 BIM393247 BSI393247 CCE393247 CMA393247 CVW393247 DFS393247 DPO393247 DZK393247 EJG393247 ETC393247 FCY393247 FMU393247 FWQ393247 GGM393247 GQI393247 HAE393247 HKA393247 HTW393247 IDS393247 INO393247 IXK393247 JHG393247 JRC393247 KAY393247 KKU393247 KUQ393247 LEM393247 LOI393247 LYE393247 MIA393247 MRW393247 NBS393247 NLO393247 NVK393247 OFG393247 OPC393247 OYY393247 PIU393247 PSQ393247 QCM393247 QMI393247 QWE393247 RGA393247 RPW393247 RZS393247 SJO393247 STK393247 TDG393247 TNC393247 TWY393247 UGU393247 UQQ393247 VAM393247 VKI393247 VUE393247 WEA393247 WNW393247 WXS393247 BK458783 LG458783 VC458783 AEY458783 AOU458783 AYQ458783 BIM458783 BSI458783 CCE458783 CMA458783 CVW458783 DFS458783 DPO458783 DZK458783 EJG458783 ETC458783 FCY458783 FMU458783 FWQ458783 GGM458783 GQI458783 HAE458783 HKA458783 HTW458783 IDS458783 INO458783 IXK458783 JHG458783 JRC458783 KAY458783 KKU458783 KUQ458783 LEM458783 LOI458783 LYE458783 MIA458783 MRW458783 NBS458783 NLO458783 NVK458783 OFG458783 OPC458783 OYY458783 PIU458783 PSQ458783 QCM458783 QMI458783 QWE458783 RGA458783 RPW458783 RZS458783 SJO458783 STK458783 TDG458783 TNC458783 TWY458783 UGU458783 UQQ458783 VAM458783 VKI458783 VUE458783 WEA458783 WNW458783 WXS458783 BK524319 LG524319 VC524319 AEY524319 AOU524319 AYQ524319 BIM524319 BSI524319 CCE524319 CMA524319 CVW524319 DFS524319 DPO524319 DZK524319 EJG524319 ETC524319 FCY524319 FMU524319 FWQ524319 GGM524319 GQI524319 HAE524319 HKA524319 HTW524319 IDS524319 INO524319 IXK524319 JHG524319 JRC524319 KAY524319 KKU524319 KUQ524319 LEM524319 LOI524319 LYE524319 MIA524319 MRW524319 NBS524319 NLO524319 NVK524319 OFG524319 OPC524319 OYY524319 PIU524319 PSQ524319 QCM524319 QMI524319 QWE524319 RGA524319 RPW524319 RZS524319 SJO524319 STK524319 TDG524319 TNC524319 TWY524319 UGU524319 UQQ524319 VAM524319 VKI524319 VUE524319 WEA524319 WNW524319 WXS524319 BK589855 LG589855 VC589855 AEY589855 AOU589855 AYQ589855 BIM589855 BSI589855 CCE589855 CMA589855 CVW589855 DFS589855 DPO589855 DZK589855 EJG589855 ETC589855 FCY589855 FMU589855 FWQ589855 GGM589855 GQI589855 HAE589855 HKA589855 HTW589855 IDS589855 INO589855 IXK589855 JHG589855 JRC589855 KAY589855 KKU589855 KUQ589855 LEM589855 LOI589855 LYE589855 MIA589855 MRW589855 NBS589855 NLO589855 NVK589855 OFG589855 OPC589855 OYY589855 PIU589855 PSQ589855 QCM589855 QMI589855 QWE589855 RGA589855 RPW589855 RZS589855 SJO589855 STK589855 TDG589855 TNC589855 TWY589855 UGU589855 UQQ589855 VAM589855 VKI589855 VUE589855 WEA589855 WNW589855 WXS589855 BK655391 LG655391 VC655391 AEY655391 AOU655391 AYQ655391 BIM655391 BSI655391 CCE655391 CMA655391 CVW655391 DFS655391 DPO655391 DZK655391 EJG655391 ETC655391 FCY655391 FMU655391 FWQ655391 GGM655391 GQI655391 HAE655391 HKA655391 HTW655391 IDS655391 INO655391 IXK655391 JHG655391 JRC655391 KAY655391 KKU655391 KUQ655391 LEM655391 LOI655391 LYE655391 MIA655391 MRW655391 NBS655391 NLO655391 NVK655391 OFG655391 OPC655391 OYY655391 PIU655391 PSQ655391 QCM655391 QMI655391 QWE655391 RGA655391 RPW655391 RZS655391 SJO655391 STK655391 TDG655391 TNC655391 TWY655391 UGU655391 UQQ655391 VAM655391 VKI655391 VUE655391 WEA655391 WNW655391 WXS655391 BK720927 LG720927 VC720927 AEY720927 AOU720927 AYQ720927 BIM720927 BSI720927 CCE720927 CMA720927 CVW720927 DFS720927 DPO720927 DZK720927 EJG720927 ETC720927 FCY720927 FMU720927 FWQ720927 GGM720927 GQI720927 HAE720927 HKA720927 HTW720927 IDS720927 INO720927 IXK720927 JHG720927 JRC720927 KAY720927 KKU720927 KUQ720927 LEM720927 LOI720927 LYE720927 MIA720927 MRW720927 NBS720927 NLO720927 NVK720927 OFG720927 OPC720927 OYY720927 PIU720927 PSQ720927 QCM720927 QMI720927 QWE720927 RGA720927 RPW720927 RZS720927 SJO720927 STK720927 TDG720927 TNC720927 TWY720927 UGU720927 UQQ720927 VAM720927 VKI720927 VUE720927 WEA720927 WNW720927 WXS720927 BK786463 LG786463 VC786463 AEY786463 AOU786463 AYQ786463 BIM786463 BSI786463 CCE786463 CMA786463 CVW786463 DFS786463 DPO786463 DZK786463 EJG786463 ETC786463 FCY786463 FMU786463 FWQ786463 GGM786463 GQI786463 HAE786463 HKA786463 HTW786463 IDS786463 INO786463 IXK786463 JHG786463 JRC786463 KAY786463 KKU786463 KUQ786463 LEM786463 LOI786463 LYE786463 MIA786463 MRW786463 NBS786463 NLO786463 NVK786463 OFG786463 OPC786463 OYY786463 PIU786463 PSQ786463 QCM786463 QMI786463 QWE786463 RGA786463 RPW786463 RZS786463 SJO786463 STK786463 TDG786463 TNC786463 TWY786463 UGU786463 UQQ786463 VAM786463 VKI786463 VUE786463 WEA786463 WNW786463 WXS786463 BK851999 LG851999 VC851999 AEY851999 AOU851999 AYQ851999 BIM851999 BSI851999 CCE851999 CMA851999 CVW851999 DFS851999 DPO851999 DZK851999 EJG851999 ETC851999 FCY851999 FMU851999 FWQ851999 GGM851999 GQI851999 HAE851999 HKA851999 HTW851999 IDS851999 INO851999 IXK851999 JHG851999 JRC851999 KAY851999 KKU851999 KUQ851999 LEM851999 LOI851999 LYE851999 MIA851999 MRW851999 NBS851999 NLO851999 NVK851999 OFG851999 OPC851999 OYY851999 PIU851999 PSQ851999 QCM851999 QMI851999 QWE851999 RGA851999 RPW851999 RZS851999 SJO851999 STK851999 TDG851999 TNC851999 TWY851999 UGU851999 UQQ851999 VAM851999 VKI851999 VUE851999 WEA851999 WNW851999 WXS851999 BK917535 LG917535 VC917535 AEY917535 AOU917535 AYQ917535 BIM917535 BSI917535 CCE917535 CMA917535 CVW917535 DFS917535 DPO917535 DZK917535 EJG917535 ETC917535 FCY917535 FMU917535 FWQ917535 GGM917535 GQI917535 HAE917535 HKA917535 HTW917535 IDS917535 INO917535 IXK917535 JHG917535 JRC917535 KAY917535 KKU917535 KUQ917535 LEM917535 LOI917535 LYE917535 MIA917535 MRW917535 NBS917535 NLO917535 NVK917535 OFG917535 OPC917535 OYY917535 PIU917535 PSQ917535 QCM917535 QMI917535 QWE917535 RGA917535 RPW917535 RZS917535 SJO917535 STK917535 TDG917535 TNC917535 TWY917535 UGU917535 UQQ917535 VAM917535 VKI917535 VUE917535 WEA917535 WNW917535 WXS917535 BK983071 LG983071 VC983071 AEY983071 AOU983071 AYQ983071 BIM983071 BSI983071 CCE983071 CMA983071 CVW983071 DFS983071 DPO983071 DZK983071 EJG983071 ETC983071 FCY983071 FMU983071 FWQ983071 GGM983071 GQI983071 HAE983071 HKA983071 HTW983071 IDS983071 INO983071 IXK983071 JHG983071 JRC983071 KAY983071 KKU983071 KUQ983071 LEM983071 LOI983071 LYE983071 MIA983071 MRW983071 NBS983071 NLO983071 NVK983071 OFG983071 OPC983071 OYY983071 PIU983071 PSQ983071 QCM983071 QMI983071 QWE983071 RGA983071 RPW983071 RZS983071 SJO983071 STK983071 TDG983071 TNC983071 TWY983071 UGU983071 UQQ983071 VAM983071 VKI983071 VUE983071 WEA983071 WNW983071 WXS983071 BJ33:BX34 LF33:LT34 VB33:VP34 AEX33:AFL34 AOT33:APH34 AYP33:AZD34 BIL33:BIZ34 BSH33:BSV34 CCD33:CCR34 CLZ33:CMN34 CVV33:CWJ34 DFR33:DGF34 DPN33:DQB34 DZJ33:DZX34 EJF33:EJT34 ETB33:ETP34 FCX33:FDL34 FMT33:FNH34 FWP33:FXD34 GGL33:GGZ34 GQH33:GQV34 HAD33:HAR34 HJZ33:HKN34 HTV33:HUJ34 IDR33:IEF34 INN33:IOB34 IXJ33:IXX34 JHF33:JHT34 JRB33:JRP34 KAX33:KBL34 KKT33:KLH34 KUP33:KVD34 LEL33:LEZ34 LOH33:LOV34 LYD33:LYR34 MHZ33:MIN34 MRV33:MSJ34 NBR33:NCF34 NLN33:NMB34 NVJ33:NVX34 OFF33:OFT34 OPB33:OPP34 OYX33:OZL34 PIT33:PJH34 PSP33:PTD34 QCL33:QCZ34 QMH33:QMV34 QWD33:QWR34 RFZ33:RGN34 RPV33:RQJ34 RZR33:SAF34 SJN33:SKB34 STJ33:STX34 TDF33:TDT34 TNB33:TNP34 TWX33:TXL34 UGT33:UHH34 UQP33:URD34 VAL33:VAZ34 VKH33:VKV34 VUD33:VUR34 WDZ33:WEN34 WNV33:WOJ34 WXR33:WYF34 BJ65569:BX65570 LF65569:LT65570 VB65569:VP65570 AEX65569:AFL65570 AOT65569:APH65570 AYP65569:AZD65570 BIL65569:BIZ65570 BSH65569:BSV65570 CCD65569:CCR65570 CLZ65569:CMN65570 CVV65569:CWJ65570 DFR65569:DGF65570 DPN65569:DQB65570 DZJ65569:DZX65570 EJF65569:EJT65570 ETB65569:ETP65570 FCX65569:FDL65570 FMT65569:FNH65570 FWP65569:FXD65570 GGL65569:GGZ65570 GQH65569:GQV65570 HAD65569:HAR65570 HJZ65569:HKN65570 HTV65569:HUJ65570 IDR65569:IEF65570 INN65569:IOB65570 IXJ65569:IXX65570 JHF65569:JHT65570 JRB65569:JRP65570 KAX65569:KBL65570 KKT65569:KLH65570 KUP65569:KVD65570 LEL65569:LEZ65570 LOH65569:LOV65570 LYD65569:LYR65570 MHZ65569:MIN65570 MRV65569:MSJ65570 NBR65569:NCF65570 NLN65569:NMB65570 NVJ65569:NVX65570 OFF65569:OFT65570 OPB65569:OPP65570 OYX65569:OZL65570 PIT65569:PJH65570 PSP65569:PTD65570 QCL65569:QCZ65570 QMH65569:QMV65570 QWD65569:QWR65570 RFZ65569:RGN65570 RPV65569:RQJ65570 RZR65569:SAF65570 SJN65569:SKB65570 STJ65569:STX65570 TDF65569:TDT65570 TNB65569:TNP65570 TWX65569:TXL65570 UGT65569:UHH65570 UQP65569:URD65570 VAL65569:VAZ65570 VKH65569:VKV65570 VUD65569:VUR65570 WDZ65569:WEN65570 WNV65569:WOJ65570 WXR65569:WYF65570 BJ131105:BX131106 LF131105:LT131106 VB131105:VP131106 AEX131105:AFL131106 AOT131105:APH131106 AYP131105:AZD131106 BIL131105:BIZ131106 BSH131105:BSV131106 CCD131105:CCR131106 CLZ131105:CMN131106 CVV131105:CWJ131106 DFR131105:DGF131106 DPN131105:DQB131106 DZJ131105:DZX131106 EJF131105:EJT131106 ETB131105:ETP131106 FCX131105:FDL131106 FMT131105:FNH131106 FWP131105:FXD131106 GGL131105:GGZ131106 GQH131105:GQV131106 HAD131105:HAR131106 HJZ131105:HKN131106 HTV131105:HUJ131106 IDR131105:IEF131106 INN131105:IOB131106 IXJ131105:IXX131106 JHF131105:JHT131106 JRB131105:JRP131106 KAX131105:KBL131106 KKT131105:KLH131106 KUP131105:KVD131106 LEL131105:LEZ131106 LOH131105:LOV131106 LYD131105:LYR131106 MHZ131105:MIN131106 MRV131105:MSJ131106 NBR131105:NCF131106 NLN131105:NMB131106 NVJ131105:NVX131106 OFF131105:OFT131106 OPB131105:OPP131106 OYX131105:OZL131106 PIT131105:PJH131106 PSP131105:PTD131106 QCL131105:QCZ131106 QMH131105:QMV131106 QWD131105:QWR131106 RFZ131105:RGN131106 RPV131105:RQJ131106 RZR131105:SAF131106 SJN131105:SKB131106 STJ131105:STX131106 TDF131105:TDT131106 TNB131105:TNP131106 TWX131105:TXL131106 UGT131105:UHH131106 UQP131105:URD131106 VAL131105:VAZ131106 VKH131105:VKV131106 VUD131105:VUR131106 WDZ131105:WEN131106 WNV131105:WOJ131106 WXR131105:WYF131106 BJ196641:BX196642 LF196641:LT196642 VB196641:VP196642 AEX196641:AFL196642 AOT196641:APH196642 AYP196641:AZD196642 BIL196641:BIZ196642 BSH196641:BSV196642 CCD196641:CCR196642 CLZ196641:CMN196642 CVV196641:CWJ196642 DFR196641:DGF196642 DPN196641:DQB196642 DZJ196641:DZX196642 EJF196641:EJT196642 ETB196641:ETP196642 FCX196641:FDL196642 FMT196641:FNH196642 FWP196641:FXD196642 GGL196641:GGZ196642 GQH196641:GQV196642 HAD196641:HAR196642 HJZ196641:HKN196642 HTV196641:HUJ196642 IDR196641:IEF196642 INN196641:IOB196642 IXJ196641:IXX196642 JHF196641:JHT196642 JRB196641:JRP196642 KAX196641:KBL196642 KKT196641:KLH196642 KUP196641:KVD196642 LEL196641:LEZ196642 LOH196641:LOV196642 LYD196641:LYR196642 MHZ196641:MIN196642 MRV196641:MSJ196642 NBR196641:NCF196642 NLN196641:NMB196642 NVJ196641:NVX196642 OFF196641:OFT196642 OPB196641:OPP196642 OYX196641:OZL196642 PIT196641:PJH196642 PSP196641:PTD196642 QCL196641:QCZ196642 QMH196641:QMV196642 QWD196641:QWR196642 RFZ196641:RGN196642 RPV196641:RQJ196642 RZR196641:SAF196642 SJN196641:SKB196642 STJ196641:STX196642 TDF196641:TDT196642 TNB196641:TNP196642 TWX196641:TXL196642 UGT196641:UHH196642 UQP196641:URD196642 VAL196641:VAZ196642 VKH196641:VKV196642 VUD196641:VUR196642 WDZ196641:WEN196642 WNV196641:WOJ196642 WXR196641:WYF196642 BJ262177:BX262178 LF262177:LT262178 VB262177:VP262178 AEX262177:AFL262178 AOT262177:APH262178 AYP262177:AZD262178 BIL262177:BIZ262178 BSH262177:BSV262178 CCD262177:CCR262178 CLZ262177:CMN262178 CVV262177:CWJ262178 DFR262177:DGF262178 DPN262177:DQB262178 DZJ262177:DZX262178 EJF262177:EJT262178 ETB262177:ETP262178 FCX262177:FDL262178 FMT262177:FNH262178 FWP262177:FXD262178 GGL262177:GGZ262178 GQH262177:GQV262178 HAD262177:HAR262178 HJZ262177:HKN262178 HTV262177:HUJ262178 IDR262177:IEF262178 INN262177:IOB262178 IXJ262177:IXX262178 JHF262177:JHT262178 JRB262177:JRP262178 KAX262177:KBL262178 KKT262177:KLH262178 KUP262177:KVD262178 LEL262177:LEZ262178 LOH262177:LOV262178 LYD262177:LYR262178 MHZ262177:MIN262178 MRV262177:MSJ262178 NBR262177:NCF262178 NLN262177:NMB262178 NVJ262177:NVX262178 OFF262177:OFT262178 OPB262177:OPP262178 OYX262177:OZL262178 PIT262177:PJH262178 PSP262177:PTD262178 QCL262177:QCZ262178 QMH262177:QMV262178 QWD262177:QWR262178 RFZ262177:RGN262178 RPV262177:RQJ262178 RZR262177:SAF262178 SJN262177:SKB262178 STJ262177:STX262178 TDF262177:TDT262178 TNB262177:TNP262178 TWX262177:TXL262178 UGT262177:UHH262178 UQP262177:URD262178 VAL262177:VAZ262178 VKH262177:VKV262178 VUD262177:VUR262178 WDZ262177:WEN262178 WNV262177:WOJ262178 WXR262177:WYF262178 BJ327713:BX327714 LF327713:LT327714 VB327713:VP327714 AEX327713:AFL327714 AOT327713:APH327714 AYP327713:AZD327714 BIL327713:BIZ327714 BSH327713:BSV327714 CCD327713:CCR327714 CLZ327713:CMN327714 CVV327713:CWJ327714 DFR327713:DGF327714 DPN327713:DQB327714 DZJ327713:DZX327714 EJF327713:EJT327714 ETB327713:ETP327714 FCX327713:FDL327714 FMT327713:FNH327714 FWP327713:FXD327714 GGL327713:GGZ327714 GQH327713:GQV327714 HAD327713:HAR327714 HJZ327713:HKN327714 HTV327713:HUJ327714 IDR327713:IEF327714 INN327713:IOB327714 IXJ327713:IXX327714 JHF327713:JHT327714 JRB327713:JRP327714 KAX327713:KBL327714 KKT327713:KLH327714 KUP327713:KVD327714 LEL327713:LEZ327714 LOH327713:LOV327714 LYD327713:LYR327714 MHZ327713:MIN327714 MRV327713:MSJ327714 NBR327713:NCF327714 NLN327713:NMB327714 NVJ327713:NVX327714 OFF327713:OFT327714 OPB327713:OPP327714 OYX327713:OZL327714 PIT327713:PJH327714 PSP327713:PTD327714 QCL327713:QCZ327714 QMH327713:QMV327714 QWD327713:QWR327714 RFZ327713:RGN327714 RPV327713:RQJ327714 RZR327713:SAF327714 SJN327713:SKB327714 STJ327713:STX327714 TDF327713:TDT327714 TNB327713:TNP327714 TWX327713:TXL327714 UGT327713:UHH327714 UQP327713:URD327714 VAL327713:VAZ327714 VKH327713:VKV327714 VUD327713:VUR327714 WDZ327713:WEN327714 WNV327713:WOJ327714 WXR327713:WYF327714 BJ393249:BX393250 LF393249:LT393250 VB393249:VP393250 AEX393249:AFL393250 AOT393249:APH393250 AYP393249:AZD393250 BIL393249:BIZ393250 BSH393249:BSV393250 CCD393249:CCR393250 CLZ393249:CMN393250 CVV393249:CWJ393250 DFR393249:DGF393250 DPN393249:DQB393250 DZJ393249:DZX393250 EJF393249:EJT393250 ETB393249:ETP393250 FCX393249:FDL393250 FMT393249:FNH393250 FWP393249:FXD393250 GGL393249:GGZ393250 GQH393249:GQV393250 HAD393249:HAR393250 HJZ393249:HKN393250 HTV393249:HUJ393250 IDR393249:IEF393250 INN393249:IOB393250 IXJ393249:IXX393250 JHF393249:JHT393250 JRB393249:JRP393250 KAX393249:KBL393250 KKT393249:KLH393250 KUP393249:KVD393250 LEL393249:LEZ393250 LOH393249:LOV393250 LYD393249:LYR393250 MHZ393249:MIN393250 MRV393249:MSJ393250 NBR393249:NCF393250 NLN393249:NMB393250 NVJ393249:NVX393250 OFF393249:OFT393250 OPB393249:OPP393250 OYX393249:OZL393250 PIT393249:PJH393250 PSP393249:PTD393250 QCL393249:QCZ393250 QMH393249:QMV393250 QWD393249:QWR393250 RFZ393249:RGN393250 RPV393249:RQJ393250 RZR393249:SAF393250 SJN393249:SKB393250 STJ393249:STX393250 TDF393249:TDT393250 TNB393249:TNP393250 TWX393249:TXL393250 UGT393249:UHH393250 UQP393249:URD393250 VAL393249:VAZ393250 VKH393249:VKV393250 VUD393249:VUR393250 WDZ393249:WEN393250 WNV393249:WOJ393250 WXR393249:WYF393250 BJ458785:BX458786 LF458785:LT458786 VB458785:VP458786 AEX458785:AFL458786 AOT458785:APH458786 AYP458785:AZD458786 BIL458785:BIZ458786 BSH458785:BSV458786 CCD458785:CCR458786 CLZ458785:CMN458786 CVV458785:CWJ458786 DFR458785:DGF458786 DPN458785:DQB458786 DZJ458785:DZX458786 EJF458785:EJT458786 ETB458785:ETP458786 FCX458785:FDL458786 FMT458785:FNH458786 FWP458785:FXD458786 GGL458785:GGZ458786 GQH458785:GQV458786 HAD458785:HAR458786 HJZ458785:HKN458786 HTV458785:HUJ458786 IDR458785:IEF458786 INN458785:IOB458786 IXJ458785:IXX458786 JHF458785:JHT458786 JRB458785:JRP458786 KAX458785:KBL458786 KKT458785:KLH458786 KUP458785:KVD458786 LEL458785:LEZ458786 LOH458785:LOV458786 LYD458785:LYR458786 MHZ458785:MIN458786 MRV458785:MSJ458786 NBR458785:NCF458786 NLN458785:NMB458786 NVJ458785:NVX458786 OFF458785:OFT458786 OPB458785:OPP458786 OYX458785:OZL458786 PIT458785:PJH458786 PSP458785:PTD458786 QCL458785:QCZ458786 QMH458785:QMV458786 QWD458785:QWR458786 RFZ458785:RGN458786 RPV458785:RQJ458786 RZR458785:SAF458786 SJN458785:SKB458786 STJ458785:STX458786 TDF458785:TDT458786 TNB458785:TNP458786 TWX458785:TXL458786 UGT458785:UHH458786 UQP458785:URD458786 VAL458785:VAZ458786 VKH458785:VKV458786 VUD458785:VUR458786 WDZ458785:WEN458786 WNV458785:WOJ458786 WXR458785:WYF458786 BJ524321:BX524322 LF524321:LT524322 VB524321:VP524322 AEX524321:AFL524322 AOT524321:APH524322 AYP524321:AZD524322 BIL524321:BIZ524322 BSH524321:BSV524322 CCD524321:CCR524322 CLZ524321:CMN524322 CVV524321:CWJ524322 DFR524321:DGF524322 DPN524321:DQB524322 DZJ524321:DZX524322 EJF524321:EJT524322 ETB524321:ETP524322 FCX524321:FDL524322 FMT524321:FNH524322 FWP524321:FXD524322 GGL524321:GGZ524322 GQH524321:GQV524322 HAD524321:HAR524322 HJZ524321:HKN524322 HTV524321:HUJ524322 IDR524321:IEF524322 INN524321:IOB524322 IXJ524321:IXX524322 JHF524321:JHT524322 JRB524321:JRP524322 KAX524321:KBL524322 KKT524321:KLH524322 KUP524321:KVD524322 LEL524321:LEZ524322 LOH524321:LOV524322 LYD524321:LYR524322 MHZ524321:MIN524322 MRV524321:MSJ524322 NBR524321:NCF524322 NLN524321:NMB524322 NVJ524321:NVX524322 OFF524321:OFT524322 OPB524321:OPP524322 OYX524321:OZL524322 PIT524321:PJH524322 PSP524321:PTD524322 QCL524321:QCZ524322 QMH524321:QMV524322 QWD524321:QWR524322 RFZ524321:RGN524322 RPV524321:RQJ524322 RZR524321:SAF524322 SJN524321:SKB524322 STJ524321:STX524322 TDF524321:TDT524322 TNB524321:TNP524322 TWX524321:TXL524322 UGT524321:UHH524322 UQP524321:URD524322 VAL524321:VAZ524322 VKH524321:VKV524322 VUD524321:VUR524322 WDZ524321:WEN524322 WNV524321:WOJ524322 WXR524321:WYF524322 BJ589857:BX589858 LF589857:LT589858 VB589857:VP589858 AEX589857:AFL589858 AOT589857:APH589858 AYP589857:AZD589858 BIL589857:BIZ589858 BSH589857:BSV589858 CCD589857:CCR589858 CLZ589857:CMN589858 CVV589857:CWJ589858 DFR589857:DGF589858 DPN589857:DQB589858 DZJ589857:DZX589858 EJF589857:EJT589858 ETB589857:ETP589858 FCX589857:FDL589858 FMT589857:FNH589858 FWP589857:FXD589858 GGL589857:GGZ589858 GQH589857:GQV589858 HAD589857:HAR589858 HJZ589857:HKN589858 HTV589857:HUJ589858 IDR589857:IEF589858 INN589857:IOB589858 IXJ589857:IXX589858 JHF589857:JHT589858 JRB589857:JRP589858 KAX589857:KBL589858 KKT589857:KLH589858 KUP589857:KVD589858 LEL589857:LEZ589858 LOH589857:LOV589858 LYD589857:LYR589858 MHZ589857:MIN589858 MRV589857:MSJ589858 NBR589857:NCF589858 NLN589857:NMB589858 NVJ589857:NVX589858 OFF589857:OFT589858 OPB589857:OPP589858 OYX589857:OZL589858 PIT589857:PJH589858 PSP589857:PTD589858 QCL589857:QCZ589858 QMH589857:QMV589858 QWD589857:QWR589858 RFZ589857:RGN589858 RPV589857:RQJ589858 RZR589857:SAF589858 SJN589857:SKB589858 STJ589857:STX589858 TDF589857:TDT589858 TNB589857:TNP589858 TWX589857:TXL589858 UGT589857:UHH589858 UQP589857:URD589858 VAL589857:VAZ589858 VKH589857:VKV589858 VUD589857:VUR589858 WDZ589857:WEN589858 WNV589857:WOJ589858 WXR589857:WYF589858 BJ655393:BX655394 LF655393:LT655394 VB655393:VP655394 AEX655393:AFL655394 AOT655393:APH655394 AYP655393:AZD655394 BIL655393:BIZ655394 BSH655393:BSV655394 CCD655393:CCR655394 CLZ655393:CMN655394 CVV655393:CWJ655394 DFR655393:DGF655394 DPN655393:DQB655394 DZJ655393:DZX655394 EJF655393:EJT655394 ETB655393:ETP655394 FCX655393:FDL655394 FMT655393:FNH655394 FWP655393:FXD655394 GGL655393:GGZ655394 GQH655393:GQV655394 HAD655393:HAR655394 HJZ655393:HKN655394 HTV655393:HUJ655394 IDR655393:IEF655394 INN655393:IOB655394 IXJ655393:IXX655394 JHF655393:JHT655394 JRB655393:JRP655394 KAX655393:KBL655394 KKT655393:KLH655394 KUP655393:KVD655394 LEL655393:LEZ655394 LOH655393:LOV655394 LYD655393:LYR655394 MHZ655393:MIN655394 MRV655393:MSJ655394 NBR655393:NCF655394 NLN655393:NMB655394 NVJ655393:NVX655394 OFF655393:OFT655394 OPB655393:OPP655394 OYX655393:OZL655394 PIT655393:PJH655394 PSP655393:PTD655394 QCL655393:QCZ655394 QMH655393:QMV655394 QWD655393:QWR655394 RFZ655393:RGN655394 RPV655393:RQJ655394 RZR655393:SAF655394 SJN655393:SKB655394 STJ655393:STX655394 TDF655393:TDT655394 TNB655393:TNP655394 TWX655393:TXL655394 UGT655393:UHH655394 UQP655393:URD655394 VAL655393:VAZ655394 VKH655393:VKV655394 VUD655393:VUR655394 WDZ655393:WEN655394 WNV655393:WOJ655394 WXR655393:WYF655394 BJ720929:BX720930 LF720929:LT720930 VB720929:VP720930 AEX720929:AFL720930 AOT720929:APH720930 AYP720929:AZD720930 BIL720929:BIZ720930 BSH720929:BSV720930 CCD720929:CCR720930 CLZ720929:CMN720930 CVV720929:CWJ720930 DFR720929:DGF720930 DPN720929:DQB720930 DZJ720929:DZX720930 EJF720929:EJT720930 ETB720929:ETP720930 FCX720929:FDL720930 FMT720929:FNH720930 FWP720929:FXD720930 GGL720929:GGZ720930 GQH720929:GQV720930 HAD720929:HAR720930 HJZ720929:HKN720930 HTV720929:HUJ720930 IDR720929:IEF720930 INN720929:IOB720930 IXJ720929:IXX720930 JHF720929:JHT720930 JRB720929:JRP720930 KAX720929:KBL720930 KKT720929:KLH720930 KUP720929:KVD720930 LEL720929:LEZ720930 LOH720929:LOV720930 LYD720929:LYR720930 MHZ720929:MIN720930 MRV720929:MSJ720930 NBR720929:NCF720930 NLN720929:NMB720930 NVJ720929:NVX720930 OFF720929:OFT720930 OPB720929:OPP720930 OYX720929:OZL720930 PIT720929:PJH720930 PSP720929:PTD720930 QCL720929:QCZ720930 QMH720929:QMV720930 QWD720929:QWR720930 RFZ720929:RGN720930 RPV720929:RQJ720930 RZR720929:SAF720930 SJN720929:SKB720930 STJ720929:STX720930 TDF720929:TDT720930 TNB720929:TNP720930 TWX720929:TXL720930 UGT720929:UHH720930 UQP720929:URD720930 VAL720929:VAZ720930 VKH720929:VKV720930 VUD720929:VUR720930 WDZ720929:WEN720930 WNV720929:WOJ720930 WXR720929:WYF720930 BJ786465:BX786466 LF786465:LT786466 VB786465:VP786466 AEX786465:AFL786466 AOT786465:APH786466 AYP786465:AZD786466 BIL786465:BIZ786466 BSH786465:BSV786466 CCD786465:CCR786466 CLZ786465:CMN786466 CVV786465:CWJ786466 DFR786465:DGF786466 DPN786465:DQB786466 DZJ786465:DZX786466 EJF786465:EJT786466 ETB786465:ETP786466 FCX786465:FDL786466 FMT786465:FNH786466 FWP786465:FXD786466 GGL786465:GGZ786466 GQH786465:GQV786466 HAD786465:HAR786466 HJZ786465:HKN786466 HTV786465:HUJ786466 IDR786465:IEF786466 INN786465:IOB786466 IXJ786465:IXX786466 JHF786465:JHT786466 JRB786465:JRP786466 KAX786465:KBL786466 KKT786465:KLH786466 KUP786465:KVD786466 LEL786465:LEZ786466 LOH786465:LOV786466 LYD786465:LYR786466 MHZ786465:MIN786466 MRV786465:MSJ786466 NBR786465:NCF786466 NLN786465:NMB786466 NVJ786465:NVX786466 OFF786465:OFT786466 OPB786465:OPP786466 OYX786465:OZL786466 PIT786465:PJH786466 PSP786465:PTD786466 QCL786465:QCZ786466 QMH786465:QMV786466 QWD786465:QWR786466 RFZ786465:RGN786466 RPV786465:RQJ786466 RZR786465:SAF786466 SJN786465:SKB786466 STJ786465:STX786466 TDF786465:TDT786466 TNB786465:TNP786466 TWX786465:TXL786466 UGT786465:UHH786466 UQP786465:URD786466 VAL786465:VAZ786466 VKH786465:VKV786466 VUD786465:VUR786466 WDZ786465:WEN786466 WNV786465:WOJ786466 WXR786465:WYF786466 BJ852001:BX852002 LF852001:LT852002 VB852001:VP852002 AEX852001:AFL852002 AOT852001:APH852002 AYP852001:AZD852002 BIL852001:BIZ852002 BSH852001:BSV852002 CCD852001:CCR852002 CLZ852001:CMN852002 CVV852001:CWJ852002 DFR852001:DGF852002 DPN852001:DQB852002 DZJ852001:DZX852002 EJF852001:EJT852002 ETB852001:ETP852002 FCX852001:FDL852002 FMT852001:FNH852002 FWP852001:FXD852002 GGL852001:GGZ852002 GQH852001:GQV852002 HAD852001:HAR852002 HJZ852001:HKN852002 HTV852001:HUJ852002 IDR852001:IEF852002 INN852001:IOB852002 IXJ852001:IXX852002 JHF852001:JHT852002 JRB852001:JRP852002 KAX852001:KBL852002 KKT852001:KLH852002 KUP852001:KVD852002 LEL852001:LEZ852002 LOH852001:LOV852002 LYD852001:LYR852002 MHZ852001:MIN852002 MRV852001:MSJ852002 NBR852001:NCF852002 NLN852001:NMB852002 NVJ852001:NVX852002 OFF852001:OFT852002 OPB852001:OPP852002 OYX852001:OZL852002 PIT852001:PJH852002 PSP852001:PTD852002 QCL852001:QCZ852002 QMH852001:QMV852002 QWD852001:QWR852002 RFZ852001:RGN852002 RPV852001:RQJ852002 RZR852001:SAF852002 SJN852001:SKB852002 STJ852001:STX852002 TDF852001:TDT852002 TNB852001:TNP852002 TWX852001:TXL852002 UGT852001:UHH852002 UQP852001:URD852002 VAL852001:VAZ852002 VKH852001:VKV852002 VUD852001:VUR852002 WDZ852001:WEN852002 WNV852001:WOJ852002 WXR852001:WYF852002 BJ917537:BX917538 LF917537:LT917538 VB917537:VP917538 AEX917537:AFL917538 AOT917537:APH917538 AYP917537:AZD917538 BIL917537:BIZ917538 BSH917537:BSV917538 CCD917537:CCR917538 CLZ917537:CMN917538 CVV917537:CWJ917538 DFR917537:DGF917538 DPN917537:DQB917538 DZJ917537:DZX917538 EJF917537:EJT917538 ETB917537:ETP917538 FCX917537:FDL917538 FMT917537:FNH917538 FWP917537:FXD917538 GGL917537:GGZ917538 GQH917537:GQV917538 HAD917537:HAR917538 HJZ917537:HKN917538 HTV917537:HUJ917538 IDR917537:IEF917538 INN917537:IOB917538 IXJ917537:IXX917538 JHF917537:JHT917538 JRB917537:JRP917538 KAX917537:KBL917538 KKT917537:KLH917538 KUP917537:KVD917538 LEL917537:LEZ917538 LOH917537:LOV917538 LYD917537:LYR917538 MHZ917537:MIN917538 MRV917537:MSJ917538 NBR917537:NCF917538 NLN917537:NMB917538 NVJ917537:NVX917538 OFF917537:OFT917538 OPB917537:OPP917538 OYX917537:OZL917538 PIT917537:PJH917538 PSP917537:PTD917538 QCL917537:QCZ917538 QMH917537:QMV917538 QWD917537:QWR917538 RFZ917537:RGN917538 RPV917537:RQJ917538 RZR917537:SAF917538 SJN917537:SKB917538 STJ917537:STX917538 TDF917537:TDT917538 TNB917537:TNP917538 TWX917537:TXL917538 UGT917537:UHH917538 UQP917537:URD917538 VAL917537:VAZ917538 VKH917537:VKV917538 VUD917537:VUR917538 WDZ917537:WEN917538 WNV917537:WOJ917538 WXR917537:WYF917538 BJ983073:BX983074 LF983073:LT983074 VB983073:VP983074 AEX983073:AFL983074 AOT983073:APH983074 AYP983073:AZD983074 BIL983073:BIZ983074 BSH983073:BSV983074 CCD983073:CCR983074 CLZ983073:CMN983074 CVV983073:CWJ983074 DFR983073:DGF983074 DPN983073:DQB983074 DZJ983073:DZX983074 EJF983073:EJT983074 ETB983073:ETP983074 FCX983073:FDL983074 FMT983073:FNH983074 FWP983073:FXD983074 GGL983073:GGZ983074 GQH983073:GQV983074 HAD983073:HAR983074 HJZ983073:HKN983074 HTV983073:HUJ983074 IDR983073:IEF983074 INN983073:IOB983074 IXJ983073:IXX983074 JHF983073:JHT983074 JRB983073:JRP983074 KAX983073:KBL983074 KKT983073:KLH983074 KUP983073:KVD983074 LEL983073:LEZ983074 LOH983073:LOV983074 LYD983073:LYR983074 MHZ983073:MIN983074 MRV983073:MSJ983074 NBR983073:NCF983074 NLN983073:NMB983074 NVJ983073:NVX983074 OFF983073:OFT983074 OPB983073:OPP983074 OYX983073:OZL983074 PIT983073:PJH983074 PSP983073:PTD983074 QCL983073:QCZ983074 QMH983073:QMV983074 QWD983073:QWR983074 RFZ983073:RGN983074 RPV983073:RQJ983074 RZR983073:SAF983074 SJN983073:SKB983074 STJ983073:STX983074 TDF983073:TDT983074 TNB983073:TNP983074 TWX983073:TXL983074 UGT983073:UHH983074 UQP983073:URD983074 VAL983073:VAZ983074 VKH983073:VKV983074 VUD983073:VUR983074 WDZ983073:WEN983074 WNV983073:WOJ983074 WXR983073:WYF983074 BK39 LG39 VC39 AEY39 AOU39 AYQ39 BIM39 BSI39 CCE39 CMA39 CVW39 DFS39 DPO39 DZK39 EJG39 ETC39 FCY39 FMU39 FWQ39 GGM39 GQI39 HAE39 HKA39 HTW39 IDS39 INO39 IXK39 JHG39 JRC39 KAY39 KKU39 KUQ39 LEM39 LOI39 LYE39 MIA39 MRW39 NBS39 NLO39 NVK39 OFG39 OPC39 OYY39 PIU39 PSQ39 QCM39 QMI39 QWE39 RGA39 RPW39 RZS39 SJO39 STK39 TDG39 TNC39 TWY39 UGU39 UQQ39 VAM39 VKI39 VUE39 WEA39 WNW39 WXS39 BK65575 LG65575 VC65575 AEY65575 AOU65575 AYQ65575 BIM65575 BSI65575 CCE65575 CMA65575 CVW65575 DFS65575 DPO65575 DZK65575 EJG65575 ETC65575 FCY65575 FMU65575 FWQ65575 GGM65575 GQI65575 HAE65575 HKA65575 HTW65575 IDS65575 INO65575 IXK65575 JHG65575 JRC65575 KAY65575 KKU65575 KUQ65575 LEM65575 LOI65575 LYE65575 MIA65575 MRW65575 NBS65575 NLO65575 NVK65575 OFG65575 OPC65575 OYY65575 PIU65575 PSQ65575 QCM65575 QMI65575 QWE65575 RGA65575 RPW65575 RZS65575 SJO65575 STK65575 TDG65575 TNC65575 TWY65575 UGU65575 UQQ65575 VAM65575 VKI65575 VUE65575 WEA65575 WNW65575 WXS65575 BK131111 LG131111 VC131111 AEY131111 AOU131111 AYQ131111 BIM131111 BSI131111 CCE131111 CMA131111 CVW131111 DFS131111 DPO131111 DZK131111 EJG131111 ETC131111 FCY131111 FMU131111 FWQ131111 GGM131111 GQI131111 HAE131111 HKA131111 HTW131111 IDS131111 INO131111 IXK131111 JHG131111 JRC131111 KAY131111 KKU131111 KUQ131111 LEM131111 LOI131111 LYE131111 MIA131111 MRW131111 NBS131111 NLO131111 NVK131111 OFG131111 OPC131111 OYY131111 PIU131111 PSQ131111 QCM131111 QMI131111 QWE131111 RGA131111 RPW131111 RZS131111 SJO131111 STK131111 TDG131111 TNC131111 TWY131111 UGU131111 UQQ131111 VAM131111 VKI131111 VUE131111 WEA131111 WNW131111 WXS131111 BK196647 LG196647 VC196647 AEY196647 AOU196647 AYQ196647 BIM196647 BSI196647 CCE196647 CMA196647 CVW196647 DFS196647 DPO196647 DZK196647 EJG196647 ETC196647 FCY196647 FMU196647 FWQ196647 GGM196647 GQI196647 HAE196647 HKA196647 HTW196647 IDS196647 INO196647 IXK196647 JHG196647 JRC196647 KAY196647 KKU196647 KUQ196647 LEM196647 LOI196647 LYE196647 MIA196647 MRW196647 NBS196647 NLO196647 NVK196647 OFG196647 OPC196647 OYY196647 PIU196647 PSQ196647 QCM196647 QMI196647 QWE196647 RGA196647 RPW196647 RZS196647 SJO196647 STK196647 TDG196647 TNC196647 TWY196647 UGU196647 UQQ196647 VAM196647 VKI196647 VUE196647 WEA196647 WNW196647 WXS196647 BK262183 LG262183 VC262183 AEY262183 AOU262183 AYQ262183 BIM262183 BSI262183 CCE262183 CMA262183 CVW262183 DFS262183 DPO262183 DZK262183 EJG262183 ETC262183 FCY262183 FMU262183 FWQ262183 GGM262183 GQI262183 HAE262183 HKA262183 HTW262183 IDS262183 INO262183 IXK262183 JHG262183 JRC262183 KAY262183 KKU262183 KUQ262183 LEM262183 LOI262183 LYE262183 MIA262183 MRW262183 NBS262183 NLO262183 NVK262183 OFG262183 OPC262183 OYY262183 PIU262183 PSQ262183 QCM262183 QMI262183 QWE262183 RGA262183 RPW262183 RZS262183 SJO262183 STK262183 TDG262183 TNC262183 TWY262183 UGU262183 UQQ262183 VAM262183 VKI262183 VUE262183 WEA262183 WNW262183 WXS262183 BK327719 LG327719 VC327719 AEY327719 AOU327719 AYQ327719 BIM327719 BSI327719 CCE327719 CMA327719 CVW327719 DFS327719 DPO327719 DZK327719 EJG327719 ETC327719 FCY327719 FMU327719 FWQ327719 GGM327719 GQI327719 HAE327719 HKA327719 HTW327719 IDS327719 INO327719 IXK327719 JHG327719 JRC327719 KAY327719 KKU327719 KUQ327719 LEM327719 LOI327719 LYE327719 MIA327719 MRW327719 NBS327719 NLO327719 NVK327719 OFG327719 OPC327719 OYY327719 PIU327719 PSQ327719 QCM327719 QMI327719 QWE327719 RGA327719 RPW327719 RZS327719 SJO327719 STK327719 TDG327719 TNC327719 TWY327719 UGU327719 UQQ327719 VAM327719 VKI327719 VUE327719 WEA327719 WNW327719 WXS327719 BK393255 LG393255 VC393255 AEY393255 AOU393255 AYQ393255 BIM393255 BSI393255 CCE393255 CMA393255 CVW393255 DFS393255 DPO393255 DZK393255 EJG393255 ETC393255 FCY393255 FMU393255 FWQ393255 GGM393255 GQI393255 HAE393255 HKA393255 HTW393255 IDS393255 INO393255 IXK393255 JHG393255 JRC393255 KAY393255 KKU393255 KUQ393255 LEM393255 LOI393255 LYE393255 MIA393255 MRW393255 NBS393255 NLO393255 NVK393255 OFG393255 OPC393255 OYY393255 PIU393255 PSQ393255 QCM393255 QMI393255 QWE393255 RGA393255 RPW393255 RZS393255 SJO393255 STK393255 TDG393255 TNC393255 TWY393255 UGU393255 UQQ393255 VAM393255 VKI393255 VUE393255 WEA393255 WNW393255 WXS393255 BK458791 LG458791 VC458791 AEY458791 AOU458791 AYQ458791 BIM458791 BSI458791 CCE458791 CMA458791 CVW458791 DFS458791 DPO458791 DZK458791 EJG458791 ETC458791 FCY458791 FMU458791 FWQ458791 GGM458791 GQI458791 HAE458791 HKA458791 HTW458791 IDS458791 INO458791 IXK458791 JHG458791 JRC458791 KAY458791 KKU458791 KUQ458791 LEM458791 LOI458791 LYE458791 MIA458791 MRW458791 NBS458791 NLO458791 NVK458791 OFG458791 OPC458791 OYY458791 PIU458791 PSQ458791 QCM458791 QMI458791 QWE458791 RGA458791 RPW458791 RZS458791 SJO458791 STK458791 TDG458791 TNC458791 TWY458791 UGU458791 UQQ458791 VAM458791 VKI458791 VUE458791 WEA458791 WNW458791 WXS458791 BK524327 LG524327 VC524327 AEY524327 AOU524327 AYQ524327 BIM524327 BSI524327 CCE524327 CMA524327 CVW524327 DFS524327 DPO524327 DZK524327 EJG524327 ETC524327 FCY524327 FMU524327 FWQ524327 GGM524327 GQI524327 HAE524327 HKA524327 HTW524327 IDS524327 INO524327 IXK524327 JHG524327 JRC524327 KAY524327 KKU524327 KUQ524327 LEM524327 LOI524327 LYE524327 MIA524327 MRW524327 NBS524327 NLO524327 NVK524327 OFG524327 OPC524327 OYY524327 PIU524327 PSQ524327 QCM524327 QMI524327 QWE524327 RGA524327 RPW524327 RZS524327 SJO524327 STK524327 TDG524327 TNC524327 TWY524327 UGU524327 UQQ524327 VAM524327 VKI524327 VUE524327 WEA524327 WNW524327 WXS524327 BK589863 LG589863 VC589863 AEY589863 AOU589863 AYQ589863 BIM589863 BSI589863 CCE589863 CMA589863 CVW589863 DFS589863 DPO589863 DZK589863 EJG589863 ETC589863 FCY589863 FMU589863 FWQ589863 GGM589863 GQI589863 HAE589863 HKA589863 HTW589863 IDS589863 INO589863 IXK589863 JHG589863 JRC589863 KAY589863 KKU589863 KUQ589863 LEM589863 LOI589863 LYE589863 MIA589863 MRW589863 NBS589863 NLO589863 NVK589863 OFG589863 OPC589863 OYY589863 PIU589863 PSQ589863 QCM589863 QMI589863 QWE589863 RGA589863 RPW589863 RZS589863 SJO589863 STK589863 TDG589863 TNC589863 TWY589863 UGU589863 UQQ589863 VAM589863 VKI589863 VUE589863 WEA589863 WNW589863 WXS589863 BK655399 LG655399 VC655399 AEY655399 AOU655399 AYQ655399 BIM655399 BSI655399 CCE655399 CMA655399 CVW655399 DFS655399 DPO655399 DZK655399 EJG655399 ETC655399 FCY655399 FMU655399 FWQ655399 GGM655399 GQI655399 HAE655399 HKA655399 HTW655399 IDS655399 INO655399 IXK655399 JHG655399 JRC655399 KAY655399 KKU655399 KUQ655399 LEM655399 LOI655399 LYE655399 MIA655399 MRW655399 NBS655399 NLO655399 NVK655399 OFG655399 OPC655399 OYY655399 PIU655399 PSQ655399 QCM655399 QMI655399 QWE655399 RGA655399 RPW655399 RZS655399 SJO655399 STK655399 TDG655399 TNC655399 TWY655399 UGU655399 UQQ655399 VAM655399 VKI655399 VUE655399 WEA655399 WNW655399 WXS655399 BK720935 LG720935 VC720935 AEY720935 AOU720935 AYQ720935 BIM720935 BSI720935 CCE720935 CMA720935 CVW720935 DFS720935 DPO720935 DZK720935 EJG720935 ETC720935 FCY720935 FMU720935 FWQ720935 GGM720935 GQI720935 HAE720935 HKA720935 HTW720935 IDS720935 INO720935 IXK720935 JHG720935 JRC720935 KAY720935 KKU720935 KUQ720935 LEM720935 LOI720935 LYE720935 MIA720935 MRW720935 NBS720935 NLO720935 NVK720935 OFG720935 OPC720935 OYY720935 PIU720935 PSQ720935 QCM720935 QMI720935 QWE720935 RGA720935 RPW720935 RZS720935 SJO720935 STK720935 TDG720935 TNC720935 TWY720935 UGU720935 UQQ720935 VAM720935 VKI720935 VUE720935 WEA720935 WNW720935 WXS720935 BK786471 LG786471 VC786471 AEY786471 AOU786471 AYQ786471 BIM786471 BSI786471 CCE786471 CMA786471 CVW786471 DFS786471 DPO786471 DZK786471 EJG786471 ETC786471 FCY786471 FMU786471 FWQ786471 GGM786471 GQI786471 HAE786471 HKA786471 HTW786471 IDS786471 INO786471 IXK786471 JHG786471 JRC786471 KAY786471 KKU786471 KUQ786471 LEM786471 LOI786471 LYE786471 MIA786471 MRW786471 NBS786471 NLO786471 NVK786471 OFG786471 OPC786471 OYY786471 PIU786471 PSQ786471 QCM786471 QMI786471 QWE786471 RGA786471 RPW786471 RZS786471 SJO786471 STK786471 TDG786471 TNC786471 TWY786471 UGU786471 UQQ786471 VAM786471 VKI786471 VUE786471 WEA786471 WNW786471 WXS786471 BK852007 LG852007 VC852007 AEY852007 AOU852007 AYQ852007 BIM852007 BSI852007 CCE852007 CMA852007 CVW852007 DFS852007 DPO852007 DZK852007 EJG852007 ETC852007 FCY852007 FMU852007 FWQ852007 GGM852007 GQI852007 HAE852007 HKA852007 HTW852007 IDS852007 INO852007 IXK852007 JHG852007 JRC852007 KAY852007 KKU852007 KUQ852007 LEM852007 LOI852007 LYE852007 MIA852007 MRW852007 NBS852007 NLO852007 NVK852007 OFG852007 OPC852007 OYY852007 PIU852007 PSQ852007 QCM852007 QMI852007 QWE852007 RGA852007 RPW852007 RZS852007 SJO852007 STK852007 TDG852007 TNC852007 TWY852007 UGU852007 UQQ852007 VAM852007 VKI852007 VUE852007 WEA852007 WNW852007 WXS852007 BK917543 LG917543 VC917543 AEY917543 AOU917543 AYQ917543 BIM917543 BSI917543 CCE917543 CMA917543 CVW917543 DFS917543 DPO917543 DZK917543 EJG917543 ETC917543 FCY917543 FMU917543 FWQ917543 GGM917543 GQI917543 HAE917543 HKA917543 HTW917543 IDS917543 INO917543 IXK917543 JHG917543 JRC917543 KAY917543 KKU917543 KUQ917543 LEM917543 LOI917543 LYE917543 MIA917543 MRW917543 NBS917543 NLO917543 NVK917543 OFG917543 OPC917543 OYY917543 PIU917543 PSQ917543 QCM917543 QMI917543 QWE917543 RGA917543 RPW917543 RZS917543 SJO917543 STK917543 TDG917543 TNC917543 TWY917543 UGU917543 UQQ917543 VAM917543 VKI917543 VUE917543 WEA917543 WNW917543 WXS917543 BK983079 LG983079 VC983079 AEY983079 AOU983079 AYQ983079 BIM983079 BSI983079 CCE983079 CMA983079 CVW983079 DFS983079 DPO983079 DZK983079 EJG983079 ETC983079 FCY983079 FMU983079 FWQ983079 GGM983079 GQI983079 HAE983079 HKA983079 HTW983079 IDS983079 INO983079 IXK983079 JHG983079 JRC983079 KAY983079 KKU983079 KUQ983079 LEM983079 LOI983079 LYE983079 MIA983079 MRW983079 NBS983079 NLO983079 NVK983079 OFG983079 OPC983079 OYY983079 PIU983079 PSQ983079 QCM983079 QMI983079 QWE983079 RGA983079 RPW983079 RZS983079 SJO983079 STK983079 TDG983079 TNC983079 TWY983079 UGU983079 UQQ983079 VAM983079 VKI983079 VUE983079 WEA983079 WNW983079 WXS983079 BK69 LG69 VC69 AEY69 AOU69 AYQ69 BIM69 BSI69 CCE69 CMA69 CVW69 DFS69 DPO69 DZK69 EJG69 ETC69 FCY69 FMU69 FWQ69 GGM69 GQI69 HAE69 HKA69 HTW69 IDS69 INO69 IXK69 JHG69 JRC69 KAY69 KKU69 KUQ69 LEM69 LOI69 LYE69 MIA69 MRW69 NBS69 NLO69 NVK69 OFG69 OPC69 OYY69 PIU69 PSQ69 QCM69 QMI69 QWE69 RGA69 RPW69 RZS69 SJO69 STK69 TDG69 TNC69 TWY69 UGU69 UQQ69 VAM69 VKI69 VUE69 WEA69 WNW69 WXS69 BK65605 LG65605 VC65605 AEY65605 AOU65605 AYQ65605 BIM65605 BSI65605 CCE65605 CMA65605 CVW65605 DFS65605 DPO65605 DZK65605 EJG65605 ETC65605 FCY65605 FMU65605 FWQ65605 GGM65605 GQI65605 HAE65605 HKA65605 HTW65605 IDS65605 INO65605 IXK65605 JHG65605 JRC65605 KAY65605 KKU65605 KUQ65605 LEM65605 LOI65605 LYE65605 MIA65605 MRW65605 NBS65605 NLO65605 NVK65605 OFG65605 OPC65605 OYY65605 PIU65605 PSQ65605 QCM65605 QMI65605 QWE65605 RGA65605 RPW65605 RZS65605 SJO65605 STK65605 TDG65605 TNC65605 TWY65605 UGU65605 UQQ65605 VAM65605 VKI65605 VUE65605 WEA65605 WNW65605 WXS65605 BK131141 LG131141 VC131141 AEY131141 AOU131141 AYQ131141 BIM131141 BSI131141 CCE131141 CMA131141 CVW131141 DFS131141 DPO131141 DZK131141 EJG131141 ETC131141 FCY131141 FMU131141 FWQ131141 GGM131141 GQI131141 HAE131141 HKA131141 HTW131141 IDS131141 INO131141 IXK131141 JHG131141 JRC131141 KAY131141 KKU131141 KUQ131141 LEM131141 LOI131141 LYE131141 MIA131141 MRW131141 NBS131141 NLO131141 NVK131141 OFG131141 OPC131141 OYY131141 PIU131141 PSQ131141 QCM131141 QMI131141 QWE131141 RGA131141 RPW131141 RZS131141 SJO131141 STK131141 TDG131141 TNC131141 TWY131141 UGU131141 UQQ131141 VAM131141 VKI131141 VUE131141 WEA131141 WNW131141 WXS131141 BK196677 LG196677 VC196677 AEY196677 AOU196677 AYQ196677 BIM196677 BSI196677 CCE196677 CMA196677 CVW196677 DFS196677 DPO196677 DZK196677 EJG196677 ETC196677 FCY196677 FMU196677 FWQ196677 GGM196677 GQI196677 HAE196677 HKA196677 HTW196677 IDS196677 INO196677 IXK196677 JHG196677 JRC196677 KAY196677 KKU196677 KUQ196677 LEM196677 LOI196677 LYE196677 MIA196677 MRW196677 NBS196677 NLO196677 NVK196677 OFG196677 OPC196677 OYY196677 PIU196677 PSQ196677 QCM196677 QMI196677 QWE196677 RGA196677 RPW196677 RZS196677 SJO196677 STK196677 TDG196677 TNC196677 TWY196677 UGU196677 UQQ196677 VAM196677 VKI196677 VUE196677 WEA196677 WNW196677 WXS196677 BK262213 LG262213 VC262213 AEY262213 AOU262213 AYQ262213 BIM262213 BSI262213 CCE262213 CMA262213 CVW262213 DFS262213 DPO262213 DZK262213 EJG262213 ETC262213 FCY262213 FMU262213 FWQ262213 GGM262213 GQI262213 HAE262213 HKA262213 HTW262213 IDS262213 INO262213 IXK262213 JHG262213 JRC262213 KAY262213 KKU262213 KUQ262213 LEM262213 LOI262213 LYE262213 MIA262213 MRW262213 NBS262213 NLO262213 NVK262213 OFG262213 OPC262213 OYY262213 PIU262213 PSQ262213 QCM262213 QMI262213 QWE262213 RGA262213 RPW262213 RZS262213 SJO262213 STK262213 TDG262213 TNC262213 TWY262213 UGU262213 UQQ262213 VAM262213 VKI262213 VUE262213 WEA262213 WNW262213 WXS262213 BK327749 LG327749 VC327749 AEY327749 AOU327749 AYQ327749 BIM327749 BSI327749 CCE327749 CMA327749 CVW327749 DFS327749 DPO327749 DZK327749 EJG327749 ETC327749 FCY327749 FMU327749 FWQ327749 GGM327749 GQI327749 HAE327749 HKA327749 HTW327749 IDS327749 INO327749 IXK327749 JHG327749 JRC327749 KAY327749 KKU327749 KUQ327749 LEM327749 LOI327749 LYE327749 MIA327749 MRW327749 NBS327749 NLO327749 NVK327749 OFG327749 OPC327749 OYY327749 PIU327749 PSQ327749 QCM327749 QMI327749 QWE327749 RGA327749 RPW327749 RZS327749 SJO327749 STK327749 TDG327749 TNC327749 TWY327749 UGU327749 UQQ327749 VAM327749 VKI327749 VUE327749 WEA327749 WNW327749 WXS327749 BK393285 LG393285 VC393285 AEY393285 AOU393285 AYQ393285 BIM393285 BSI393285 CCE393285 CMA393285 CVW393285 DFS393285 DPO393285 DZK393285 EJG393285 ETC393285 FCY393285 FMU393285 FWQ393285 GGM393285 GQI393285 HAE393285 HKA393285 HTW393285 IDS393285 INO393285 IXK393285 JHG393285 JRC393285 KAY393285 KKU393285 KUQ393285 LEM393285 LOI393285 LYE393285 MIA393285 MRW393285 NBS393285 NLO393285 NVK393285 OFG393285 OPC393285 OYY393285 PIU393285 PSQ393285 QCM393285 QMI393285 QWE393285 RGA393285 RPW393285 RZS393285 SJO393285 STK393285 TDG393285 TNC393285 TWY393285 UGU393285 UQQ393285 VAM393285 VKI393285 VUE393285 WEA393285 WNW393285 WXS393285 BK458821 LG458821 VC458821 AEY458821 AOU458821 AYQ458821 BIM458821 BSI458821 CCE458821 CMA458821 CVW458821 DFS458821 DPO458821 DZK458821 EJG458821 ETC458821 FCY458821 FMU458821 FWQ458821 GGM458821 GQI458821 HAE458821 HKA458821 HTW458821 IDS458821 INO458821 IXK458821 JHG458821 JRC458821 KAY458821 KKU458821 KUQ458821 LEM458821 LOI458821 LYE458821 MIA458821 MRW458821 NBS458821 NLO458821 NVK458821 OFG458821 OPC458821 OYY458821 PIU458821 PSQ458821 QCM458821 QMI458821 QWE458821 RGA458821 RPW458821 RZS458821 SJO458821 STK458821 TDG458821 TNC458821 TWY458821 UGU458821 UQQ458821 VAM458821 VKI458821 VUE458821 WEA458821 WNW458821 WXS458821 BK524357 LG524357 VC524357 AEY524357 AOU524357 AYQ524357 BIM524357 BSI524357 CCE524357 CMA524357 CVW524357 DFS524357 DPO524357 DZK524357 EJG524357 ETC524357 FCY524357 FMU524357 FWQ524357 GGM524357 GQI524357 HAE524357 HKA524357 HTW524357 IDS524357 INO524357 IXK524357 JHG524357 JRC524357 KAY524357 KKU524357 KUQ524357 LEM524357 LOI524357 LYE524357 MIA524357 MRW524357 NBS524357 NLO524357 NVK524357 OFG524357 OPC524357 OYY524357 PIU524357 PSQ524357 QCM524357 QMI524357 QWE524357 RGA524357 RPW524357 RZS524357 SJO524357 STK524357 TDG524357 TNC524357 TWY524357 UGU524357 UQQ524357 VAM524357 VKI524357 VUE524357 WEA524357 WNW524357 WXS524357 BK589893 LG589893 VC589893 AEY589893 AOU589893 AYQ589893 BIM589893 BSI589893 CCE589893 CMA589893 CVW589893 DFS589893 DPO589893 DZK589893 EJG589893 ETC589893 FCY589893 FMU589893 FWQ589893 GGM589893 GQI589893 HAE589893 HKA589893 HTW589893 IDS589893 INO589893 IXK589893 JHG589893 JRC589893 KAY589893 KKU589893 KUQ589893 LEM589893 LOI589893 LYE589893 MIA589893 MRW589893 NBS589893 NLO589893 NVK589893 OFG589893 OPC589893 OYY589893 PIU589893 PSQ589893 QCM589893 QMI589893 QWE589893 RGA589893 RPW589893 RZS589893 SJO589893 STK589893 TDG589893 TNC589893 TWY589893 UGU589893 UQQ589893 VAM589893 VKI589893 VUE589893 WEA589893 WNW589893 WXS589893 BK655429 LG655429 VC655429 AEY655429 AOU655429 AYQ655429 BIM655429 BSI655429 CCE655429 CMA655429 CVW655429 DFS655429 DPO655429 DZK655429 EJG655429 ETC655429 FCY655429 FMU655429 FWQ655429 GGM655429 GQI655429 HAE655429 HKA655429 HTW655429 IDS655429 INO655429 IXK655429 JHG655429 JRC655429 KAY655429 KKU655429 KUQ655429 LEM655429 LOI655429 LYE655429 MIA655429 MRW655429 NBS655429 NLO655429 NVK655429 OFG655429 OPC655429 OYY655429 PIU655429 PSQ655429 QCM655429 QMI655429 QWE655429 RGA655429 RPW655429 RZS655429 SJO655429 STK655429 TDG655429 TNC655429 TWY655429 UGU655429 UQQ655429 VAM655429 VKI655429 VUE655429 WEA655429 WNW655429 WXS655429 BK720965 LG720965 VC720965 AEY720965 AOU720965 AYQ720965 BIM720965 BSI720965 CCE720965 CMA720965 CVW720965 DFS720965 DPO720965 DZK720965 EJG720965 ETC720965 FCY720965 FMU720965 FWQ720965 GGM720965 GQI720965 HAE720965 HKA720965 HTW720965 IDS720965 INO720965 IXK720965 JHG720965 JRC720965 KAY720965 KKU720965 KUQ720965 LEM720965 LOI720965 LYE720965 MIA720965 MRW720965 NBS720965 NLO720965 NVK720965 OFG720965 OPC720965 OYY720965 PIU720965 PSQ720965 QCM720965 QMI720965 QWE720965 RGA720965 RPW720965 RZS720965 SJO720965 STK720965 TDG720965 TNC720965 TWY720965 UGU720965 UQQ720965 VAM720965 VKI720965 VUE720965 WEA720965 WNW720965 WXS720965 BK786501 LG786501 VC786501 AEY786501 AOU786501 AYQ786501 BIM786501 BSI786501 CCE786501 CMA786501 CVW786501 DFS786501 DPO786501 DZK786501 EJG786501 ETC786501 FCY786501 FMU786501 FWQ786501 GGM786501 GQI786501 HAE786501 HKA786501 HTW786501 IDS786501 INO786501 IXK786501 JHG786501 JRC786501 KAY786501 KKU786501 KUQ786501 LEM786501 LOI786501 LYE786501 MIA786501 MRW786501 NBS786501 NLO786501 NVK786501 OFG786501 OPC786501 OYY786501 PIU786501 PSQ786501 QCM786501 QMI786501 QWE786501 RGA786501 RPW786501 RZS786501 SJO786501 STK786501 TDG786501 TNC786501 TWY786501 UGU786501 UQQ786501 VAM786501 VKI786501 VUE786501 WEA786501 WNW786501 WXS786501 BK852037 LG852037 VC852037 AEY852037 AOU852037 AYQ852037 BIM852037 BSI852037 CCE852037 CMA852037 CVW852037 DFS852037 DPO852037 DZK852037 EJG852037 ETC852037 FCY852037 FMU852037 FWQ852037 GGM852037 GQI852037 HAE852037 HKA852037 HTW852037 IDS852037 INO852037 IXK852037 JHG852037 JRC852037 KAY852037 KKU852037 KUQ852037 LEM852037 LOI852037 LYE852037 MIA852037 MRW852037 NBS852037 NLO852037 NVK852037 OFG852037 OPC852037 OYY852037 PIU852037 PSQ852037 QCM852037 QMI852037 QWE852037 RGA852037 RPW852037 RZS852037 SJO852037 STK852037 TDG852037 TNC852037 TWY852037 UGU852037 UQQ852037 VAM852037 VKI852037 VUE852037 WEA852037 WNW852037 WXS852037 BK917573 LG917573 VC917573 AEY917573 AOU917573 AYQ917573 BIM917573 BSI917573 CCE917573 CMA917573 CVW917573 DFS917573 DPO917573 DZK917573 EJG917573 ETC917573 FCY917573 FMU917573 FWQ917573 GGM917573 GQI917573 HAE917573 HKA917573 HTW917573 IDS917573 INO917573 IXK917573 JHG917573 JRC917573 KAY917573 KKU917573 KUQ917573 LEM917573 LOI917573 LYE917573 MIA917573 MRW917573 NBS917573 NLO917573 NVK917573 OFG917573 OPC917573 OYY917573 PIU917573 PSQ917573 QCM917573 QMI917573 QWE917573 RGA917573 RPW917573 RZS917573 SJO917573 STK917573 TDG917573 TNC917573 TWY917573 UGU917573 UQQ917573 VAM917573 VKI917573 VUE917573 WEA917573 WNW917573 WXS917573 BK983109 LG983109 VC983109 AEY983109 AOU983109 AYQ983109 BIM983109 BSI983109 CCE983109 CMA983109 CVW983109 DFS983109 DPO983109 DZK983109 EJG983109 ETC983109 FCY983109 FMU983109 FWQ983109 GGM983109 GQI983109 HAE983109 HKA983109 HTW983109 IDS983109 INO983109 IXK983109 JHG983109 JRC983109 KAY983109 KKU983109 KUQ983109 LEM983109 LOI983109 LYE983109 MIA983109 MRW983109 NBS983109 NLO983109 NVK983109 OFG983109 OPC983109 OYY983109 PIU983109 PSQ983109 QCM983109 QMI983109 QWE983109 RGA983109 RPW983109 RZS983109 SJO983109 STK983109 TDG983109 TNC983109 TWY983109 UGU983109 UQQ983109 VAM983109 VKI983109 VUE983109 WEA983109 WNW983109 WXS983109 BJ71:BX72 LF71:LT72 VB71:VP72 AEX71:AFL72 AOT71:APH72 AYP71:AZD72 BIL71:BIZ72 BSH71:BSV72 CCD71:CCR72 CLZ71:CMN72 CVV71:CWJ72 DFR71:DGF72 DPN71:DQB72 DZJ71:DZX72 EJF71:EJT72 ETB71:ETP72 FCX71:FDL72 FMT71:FNH72 FWP71:FXD72 GGL71:GGZ72 GQH71:GQV72 HAD71:HAR72 HJZ71:HKN72 HTV71:HUJ72 IDR71:IEF72 INN71:IOB72 IXJ71:IXX72 JHF71:JHT72 JRB71:JRP72 KAX71:KBL72 KKT71:KLH72 KUP71:KVD72 LEL71:LEZ72 LOH71:LOV72 LYD71:LYR72 MHZ71:MIN72 MRV71:MSJ72 NBR71:NCF72 NLN71:NMB72 NVJ71:NVX72 OFF71:OFT72 OPB71:OPP72 OYX71:OZL72 PIT71:PJH72 PSP71:PTD72 QCL71:QCZ72 QMH71:QMV72 QWD71:QWR72 RFZ71:RGN72 RPV71:RQJ72 RZR71:SAF72 SJN71:SKB72 STJ71:STX72 TDF71:TDT72 TNB71:TNP72 TWX71:TXL72 UGT71:UHH72 UQP71:URD72 VAL71:VAZ72 VKH71:VKV72 VUD71:VUR72 WDZ71:WEN72 WNV71:WOJ72 WXR71:WYF72 BJ65607:BX65608 LF65607:LT65608 VB65607:VP65608 AEX65607:AFL65608 AOT65607:APH65608 AYP65607:AZD65608 BIL65607:BIZ65608 BSH65607:BSV65608 CCD65607:CCR65608 CLZ65607:CMN65608 CVV65607:CWJ65608 DFR65607:DGF65608 DPN65607:DQB65608 DZJ65607:DZX65608 EJF65607:EJT65608 ETB65607:ETP65608 FCX65607:FDL65608 FMT65607:FNH65608 FWP65607:FXD65608 GGL65607:GGZ65608 GQH65607:GQV65608 HAD65607:HAR65608 HJZ65607:HKN65608 HTV65607:HUJ65608 IDR65607:IEF65608 INN65607:IOB65608 IXJ65607:IXX65608 JHF65607:JHT65608 JRB65607:JRP65608 KAX65607:KBL65608 KKT65607:KLH65608 KUP65607:KVD65608 LEL65607:LEZ65608 LOH65607:LOV65608 LYD65607:LYR65608 MHZ65607:MIN65608 MRV65607:MSJ65608 NBR65607:NCF65608 NLN65607:NMB65608 NVJ65607:NVX65608 OFF65607:OFT65608 OPB65607:OPP65608 OYX65607:OZL65608 PIT65607:PJH65608 PSP65607:PTD65608 QCL65607:QCZ65608 QMH65607:QMV65608 QWD65607:QWR65608 RFZ65607:RGN65608 RPV65607:RQJ65608 RZR65607:SAF65608 SJN65607:SKB65608 STJ65607:STX65608 TDF65607:TDT65608 TNB65607:TNP65608 TWX65607:TXL65608 UGT65607:UHH65608 UQP65607:URD65608 VAL65607:VAZ65608 VKH65607:VKV65608 VUD65607:VUR65608 WDZ65607:WEN65608 WNV65607:WOJ65608 WXR65607:WYF65608 BJ131143:BX131144 LF131143:LT131144 VB131143:VP131144 AEX131143:AFL131144 AOT131143:APH131144 AYP131143:AZD131144 BIL131143:BIZ131144 BSH131143:BSV131144 CCD131143:CCR131144 CLZ131143:CMN131144 CVV131143:CWJ131144 DFR131143:DGF131144 DPN131143:DQB131144 DZJ131143:DZX131144 EJF131143:EJT131144 ETB131143:ETP131144 FCX131143:FDL131144 FMT131143:FNH131144 FWP131143:FXD131144 GGL131143:GGZ131144 GQH131143:GQV131144 HAD131143:HAR131144 HJZ131143:HKN131144 HTV131143:HUJ131144 IDR131143:IEF131144 INN131143:IOB131144 IXJ131143:IXX131144 JHF131143:JHT131144 JRB131143:JRP131144 KAX131143:KBL131144 KKT131143:KLH131144 KUP131143:KVD131144 LEL131143:LEZ131144 LOH131143:LOV131144 LYD131143:LYR131144 MHZ131143:MIN131144 MRV131143:MSJ131144 NBR131143:NCF131144 NLN131143:NMB131144 NVJ131143:NVX131144 OFF131143:OFT131144 OPB131143:OPP131144 OYX131143:OZL131144 PIT131143:PJH131144 PSP131143:PTD131144 QCL131143:QCZ131144 QMH131143:QMV131144 QWD131143:QWR131144 RFZ131143:RGN131144 RPV131143:RQJ131144 RZR131143:SAF131144 SJN131143:SKB131144 STJ131143:STX131144 TDF131143:TDT131144 TNB131143:TNP131144 TWX131143:TXL131144 UGT131143:UHH131144 UQP131143:URD131144 VAL131143:VAZ131144 VKH131143:VKV131144 VUD131143:VUR131144 WDZ131143:WEN131144 WNV131143:WOJ131144 WXR131143:WYF131144 BJ196679:BX196680 LF196679:LT196680 VB196679:VP196680 AEX196679:AFL196680 AOT196679:APH196680 AYP196679:AZD196680 BIL196679:BIZ196680 BSH196679:BSV196680 CCD196679:CCR196680 CLZ196679:CMN196680 CVV196679:CWJ196680 DFR196679:DGF196680 DPN196679:DQB196680 DZJ196679:DZX196680 EJF196679:EJT196680 ETB196679:ETP196680 FCX196679:FDL196680 FMT196679:FNH196680 FWP196679:FXD196680 GGL196679:GGZ196680 GQH196679:GQV196680 HAD196679:HAR196680 HJZ196679:HKN196680 HTV196679:HUJ196680 IDR196679:IEF196680 INN196679:IOB196680 IXJ196679:IXX196680 JHF196679:JHT196680 JRB196679:JRP196680 KAX196679:KBL196680 KKT196679:KLH196680 KUP196679:KVD196680 LEL196679:LEZ196680 LOH196679:LOV196680 LYD196679:LYR196680 MHZ196679:MIN196680 MRV196679:MSJ196680 NBR196679:NCF196680 NLN196679:NMB196680 NVJ196679:NVX196680 OFF196679:OFT196680 OPB196679:OPP196680 OYX196679:OZL196680 PIT196679:PJH196680 PSP196679:PTD196680 QCL196679:QCZ196680 QMH196679:QMV196680 QWD196679:QWR196680 RFZ196679:RGN196680 RPV196679:RQJ196680 RZR196679:SAF196680 SJN196679:SKB196680 STJ196679:STX196680 TDF196679:TDT196680 TNB196679:TNP196680 TWX196679:TXL196680 UGT196679:UHH196680 UQP196679:URD196680 VAL196679:VAZ196680 VKH196679:VKV196680 VUD196679:VUR196680 WDZ196679:WEN196680 WNV196679:WOJ196680 WXR196679:WYF196680 BJ262215:BX262216 LF262215:LT262216 VB262215:VP262216 AEX262215:AFL262216 AOT262215:APH262216 AYP262215:AZD262216 BIL262215:BIZ262216 BSH262215:BSV262216 CCD262215:CCR262216 CLZ262215:CMN262216 CVV262215:CWJ262216 DFR262215:DGF262216 DPN262215:DQB262216 DZJ262215:DZX262216 EJF262215:EJT262216 ETB262215:ETP262216 FCX262215:FDL262216 FMT262215:FNH262216 FWP262215:FXD262216 GGL262215:GGZ262216 GQH262215:GQV262216 HAD262215:HAR262216 HJZ262215:HKN262216 HTV262215:HUJ262216 IDR262215:IEF262216 INN262215:IOB262216 IXJ262215:IXX262216 JHF262215:JHT262216 JRB262215:JRP262216 KAX262215:KBL262216 KKT262215:KLH262216 KUP262215:KVD262216 LEL262215:LEZ262216 LOH262215:LOV262216 LYD262215:LYR262216 MHZ262215:MIN262216 MRV262215:MSJ262216 NBR262215:NCF262216 NLN262215:NMB262216 NVJ262215:NVX262216 OFF262215:OFT262216 OPB262215:OPP262216 OYX262215:OZL262216 PIT262215:PJH262216 PSP262215:PTD262216 QCL262215:QCZ262216 QMH262215:QMV262216 QWD262215:QWR262216 RFZ262215:RGN262216 RPV262215:RQJ262216 RZR262215:SAF262216 SJN262215:SKB262216 STJ262215:STX262216 TDF262215:TDT262216 TNB262215:TNP262216 TWX262215:TXL262216 UGT262215:UHH262216 UQP262215:URD262216 VAL262215:VAZ262216 VKH262215:VKV262216 VUD262215:VUR262216 WDZ262215:WEN262216 WNV262215:WOJ262216 WXR262215:WYF262216 BJ327751:BX327752 LF327751:LT327752 VB327751:VP327752 AEX327751:AFL327752 AOT327751:APH327752 AYP327751:AZD327752 BIL327751:BIZ327752 BSH327751:BSV327752 CCD327751:CCR327752 CLZ327751:CMN327752 CVV327751:CWJ327752 DFR327751:DGF327752 DPN327751:DQB327752 DZJ327751:DZX327752 EJF327751:EJT327752 ETB327751:ETP327752 FCX327751:FDL327752 FMT327751:FNH327752 FWP327751:FXD327752 GGL327751:GGZ327752 GQH327751:GQV327752 HAD327751:HAR327752 HJZ327751:HKN327752 HTV327751:HUJ327752 IDR327751:IEF327752 INN327751:IOB327752 IXJ327751:IXX327752 JHF327751:JHT327752 JRB327751:JRP327752 KAX327751:KBL327752 KKT327751:KLH327752 KUP327751:KVD327752 LEL327751:LEZ327752 LOH327751:LOV327752 LYD327751:LYR327752 MHZ327751:MIN327752 MRV327751:MSJ327752 NBR327751:NCF327752 NLN327751:NMB327752 NVJ327751:NVX327752 OFF327751:OFT327752 OPB327751:OPP327752 OYX327751:OZL327752 PIT327751:PJH327752 PSP327751:PTD327752 QCL327751:QCZ327752 QMH327751:QMV327752 QWD327751:QWR327752 RFZ327751:RGN327752 RPV327751:RQJ327752 RZR327751:SAF327752 SJN327751:SKB327752 STJ327751:STX327752 TDF327751:TDT327752 TNB327751:TNP327752 TWX327751:TXL327752 UGT327751:UHH327752 UQP327751:URD327752 VAL327751:VAZ327752 VKH327751:VKV327752 VUD327751:VUR327752 WDZ327751:WEN327752 WNV327751:WOJ327752 WXR327751:WYF327752 BJ393287:BX393288 LF393287:LT393288 VB393287:VP393288 AEX393287:AFL393288 AOT393287:APH393288 AYP393287:AZD393288 BIL393287:BIZ393288 BSH393287:BSV393288 CCD393287:CCR393288 CLZ393287:CMN393288 CVV393287:CWJ393288 DFR393287:DGF393288 DPN393287:DQB393288 DZJ393287:DZX393288 EJF393287:EJT393288 ETB393287:ETP393288 FCX393287:FDL393288 FMT393287:FNH393288 FWP393287:FXD393288 GGL393287:GGZ393288 GQH393287:GQV393288 HAD393287:HAR393288 HJZ393287:HKN393288 HTV393287:HUJ393288 IDR393287:IEF393288 INN393287:IOB393288 IXJ393287:IXX393288 JHF393287:JHT393288 JRB393287:JRP393288 KAX393287:KBL393288 KKT393287:KLH393288 KUP393287:KVD393288 LEL393287:LEZ393288 LOH393287:LOV393288 LYD393287:LYR393288 MHZ393287:MIN393288 MRV393287:MSJ393288 NBR393287:NCF393288 NLN393287:NMB393288 NVJ393287:NVX393288 OFF393287:OFT393288 OPB393287:OPP393288 OYX393287:OZL393288 PIT393287:PJH393288 PSP393287:PTD393288 QCL393287:QCZ393288 QMH393287:QMV393288 QWD393287:QWR393288 RFZ393287:RGN393288 RPV393287:RQJ393288 RZR393287:SAF393288 SJN393287:SKB393288 STJ393287:STX393288 TDF393287:TDT393288 TNB393287:TNP393288 TWX393287:TXL393288 UGT393287:UHH393288 UQP393287:URD393288 VAL393287:VAZ393288 VKH393287:VKV393288 VUD393287:VUR393288 WDZ393287:WEN393288 WNV393287:WOJ393288 WXR393287:WYF393288 BJ458823:BX458824 LF458823:LT458824 VB458823:VP458824 AEX458823:AFL458824 AOT458823:APH458824 AYP458823:AZD458824 BIL458823:BIZ458824 BSH458823:BSV458824 CCD458823:CCR458824 CLZ458823:CMN458824 CVV458823:CWJ458824 DFR458823:DGF458824 DPN458823:DQB458824 DZJ458823:DZX458824 EJF458823:EJT458824 ETB458823:ETP458824 FCX458823:FDL458824 FMT458823:FNH458824 FWP458823:FXD458824 GGL458823:GGZ458824 GQH458823:GQV458824 HAD458823:HAR458824 HJZ458823:HKN458824 HTV458823:HUJ458824 IDR458823:IEF458824 INN458823:IOB458824 IXJ458823:IXX458824 JHF458823:JHT458824 JRB458823:JRP458824 KAX458823:KBL458824 KKT458823:KLH458824 KUP458823:KVD458824 LEL458823:LEZ458824 LOH458823:LOV458824 LYD458823:LYR458824 MHZ458823:MIN458824 MRV458823:MSJ458824 NBR458823:NCF458824 NLN458823:NMB458824 NVJ458823:NVX458824 OFF458823:OFT458824 OPB458823:OPP458824 OYX458823:OZL458824 PIT458823:PJH458824 PSP458823:PTD458824 QCL458823:QCZ458824 QMH458823:QMV458824 QWD458823:QWR458824 RFZ458823:RGN458824 RPV458823:RQJ458824 RZR458823:SAF458824 SJN458823:SKB458824 STJ458823:STX458824 TDF458823:TDT458824 TNB458823:TNP458824 TWX458823:TXL458824 UGT458823:UHH458824 UQP458823:URD458824 VAL458823:VAZ458824 VKH458823:VKV458824 VUD458823:VUR458824 WDZ458823:WEN458824 WNV458823:WOJ458824 WXR458823:WYF458824 BJ524359:BX524360 LF524359:LT524360 VB524359:VP524360 AEX524359:AFL524360 AOT524359:APH524360 AYP524359:AZD524360 BIL524359:BIZ524360 BSH524359:BSV524360 CCD524359:CCR524360 CLZ524359:CMN524360 CVV524359:CWJ524360 DFR524359:DGF524360 DPN524359:DQB524360 DZJ524359:DZX524360 EJF524359:EJT524360 ETB524359:ETP524360 FCX524359:FDL524360 FMT524359:FNH524360 FWP524359:FXD524360 GGL524359:GGZ524360 GQH524359:GQV524360 HAD524359:HAR524360 HJZ524359:HKN524360 HTV524359:HUJ524360 IDR524359:IEF524360 INN524359:IOB524360 IXJ524359:IXX524360 JHF524359:JHT524360 JRB524359:JRP524360 KAX524359:KBL524360 KKT524359:KLH524360 KUP524359:KVD524360 LEL524359:LEZ524360 LOH524359:LOV524360 LYD524359:LYR524360 MHZ524359:MIN524360 MRV524359:MSJ524360 NBR524359:NCF524360 NLN524359:NMB524360 NVJ524359:NVX524360 OFF524359:OFT524360 OPB524359:OPP524360 OYX524359:OZL524360 PIT524359:PJH524360 PSP524359:PTD524360 QCL524359:QCZ524360 QMH524359:QMV524360 QWD524359:QWR524360 RFZ524359:RGN524360 RPV524359:RQJ524360 RZR524359:SAF524360 SJN524359:SKB524360 STJ524359:STX524360 TDF524359:TDT524360 TNB524359:TNP524360 TWX524359:TXL524360 UGT524359:UHH524360 UQP524359:URD524360 VAL524359:VAZ524360 VKH524359:VKV524360 VUD524359:VUR524360 WDZ524359:WEN524360 WNV524359:WOJ524360 WXR524359:WYF524360 BJ589895:BX589896 LF589895:LT589896 VB589895:VP589896 AEX589895:AFL589896 AOT589895:APH589896 AYP589895:AZD589896 BIL589895:BIZ589896 BSH589895:BSV589896 CCD589895:CCR589896 CLZ589895:CMN589896 CVV589895:CWJ589896 DFR589895:DGF589896 DPN589895:DQB589896 DZJ589895:DZX589896 EJF589895:EJT589896 ETB589895:ETP589896 FCX589895:FDL589896 FMT589895:FNH589896 FWP589895:FXD589896 GGL589895:GGZ589896 GQH589895:GQV589896 HAD589895:HAR589896 HJZ589895:HKN589896 HTV589895:HUJ589896 IDR589895:IEF589896 INN589895:IOB589896 IXJ589895:IXX589896 JHF589895:JHT589896 JRB589895:JRP589896 KAX589895:KBL589896 KKT589895:KLH589896 KUP589895:KVD589896 LEL589895:LEZ589896 LOH589895:LOV589896 LYD589895:LYR589896 MHZ589895:MIN589896 MRV589895:MSJ589896 NBR589895:NCF589896 NLN589895:NMB589896 NVJ589895:NVX589896 OFF589895:OFT589896 OPB589895:OPP589896 OYX589895:OZL589896 PIT589895:PJH589896 PSP589895:PTD589896 QCL589895:QCZ589896 QMH589895:QMV589896 QWD589895:QWR589896 RFZ589895:RGN589896 RPV589895:RQJ589896 RZR589895:SAF589896 SJN589895:SKB589896 STJ589895:STX589896 TDF589895:TDT589896 TNB589895:TNP589896 TWX589895:TXL589896 UGT589895:UHH589896 UQP589895:URD589896 VAL589895:VAZ589896 VKH589895:VKV589896 VUD589895:VUR589896 WDZ589895:WEN589896 WNV589895:WOJ589896 WXR589895:WYF589896 BJ655431:BX655432 LF655431:LT655432 VB655431:VP655432 AEX655431:AFL655432 AOT655431:APH655432 AYP655431:AZD655432 BIL655431:BIZ655432 BSH655431:BSV655432 CCD655431:CCR655432 CLZ655431:CMN655432 CVV655431:CWJ655432 DFR655431:DGF655432 DPN655431:DQB655432 DZJ655431:DZX655432 EJF655431:EJT655432 ETB655431:ETP655432 FCX655431:FDL655432 FMT655431:FNH655432 FWP655431:FXD655432 GGL655431:GGZ655432 GQH655431:GQV655432 HAD655431:HAR655432 HJZ655431:HKN655432 HTV655431:HUJ655432 IDR655431:IEF655432 INN655431:IOB655432 IXJ655431:IXX655432 JHF655431:JHT655432 JRB655431:JRP655432 KAX655431:KBL655432 KKT655431:KLH655432 KUP655431:KVD655432 LEL655431:LEZ655432 LOH655431:LOV655432 LYD655431:LYR655432 MHZ655431:MIN655432 MRV655431:MSJ655432 NBR655431:NCF655432 NLN655431:NMB655432 NVJ655431:NVX655432 OFF655431:OFT655432 OPB655431:OPP655432 OYX655431:OZL655432 PIT655431:PJH655432 PSP655431:PTD655432 QCL655431:QCZ655432 QMH655431:QMV655432 QWD655431:QWR655432 RFZ655431:RGN655432 RPV655431:RQJ655432 RZR655431:SAF655432 SJN655431:SKB655432 STJ655431:STX655432 TDF655431:TDT655432 TNB655431:TNP655432 TWX655431:TXL655432 UGT655431:UHH655432 UQP655431:URD655432 VAL655431:VAZ655432 VKH655431:VKV655432 VUD655431:VUR655432 WDZ655431:WEN655432 WNV655431:WOJ655432 WXR655431:WYF655432 BJ720967:BX720968 LF720967:LT720968 VB720967:VP720968 AEX720967:AFL720968 AOT720967:APH720968 AYP720967:AZD720968 BIL720967:BIZ720968 BSH720967:BSV720968 CCD720967:CCR720968 CLZ720967:CMN720968 CVV720967:CWJ720968 DFR720967:DGF720968 DPN720967:DQB720968 DZJ720967:DZX720968 EJF720967:EJT720968 ETB720967:ETP720968 FCX720967:FDL720968 FMT720967:FNH720968 FWP720967:FXD720968 GGL720967:GGZ720968 GQH720967:GQV720968 HAD720967:HAR720968 HJZ720967:HKN720968 HTV720967:HUJ720968 IDR720967:IEF720968 INN720967:IOB720968 IXJ720967:IXX720968 JHF720967:JHT720968 JRB720967:JRP720968 KAX720967:KBL720968 KKT720967:KLH720968 KUP720967:KVD720968 LEL720967:LEZ720968 LOH720967:LOV720968 LYD720967:LYR720968 MHZ720967:MIN720968 MRV720967:MSJ720968 NBR720967:NCF720968 NLN720967:NMB720968 NVJ720967:NVX720968 OFF720967:OFT720968 OPB720967:OPP720968 OYX720967:OZL720968 PIT720967:PJH720968 PSP720967:PTD720968 QCL720967:QCZ720968 QMH720967:QMV720968 QWD720967:QWR720968 RFZ720967:RGN720968 RPV720967:RQJ720968 RZR720967:SAF720968 SJN720967:SKB720968 STJ720967:STX720968 TDF720967:TDT720968 TNB720967:TNP720968 TWX720967:TXL720968 UGT720967:UHH720968 UQP720967:URD720968 VAL720967:VAZ720968 VKH720967:VKV720968 VUD720967:VUR720968 WDZ720967:WEN720968 WNV720967:WOJ720968 WXR720967:WYF720968 BJ786503:BX786504 LF786503:LT786504 VB786503:VP786504 AEX786503:AFL786504 AOT786503:APH786504 AYP786503:AZD786504 BIL786503:BIZ786504 BSH786503:BSV786504 CCD786503:CCR786504 CLZ786503:CMN786504 CVV786503:CWJ786504 DFR786503:DGF786504 DPN786503:DQB786504 DZJ786503:DZX786504 EJF786503:EJT786504 ETB786503:ETP786504 FCX786503:FDL786504 FMT786503:FNH786504 FWP786503:FXD786504 GGL786503:GGZ786504 GQH786503:GQV786504 HAD786503:HAR786504 HJZ786503:HKN786504 HTV786503:HUJ786504 IDR786503:IEF786504 INN786503:IOB786504 IXJ786503:IXX786504 JHF786503:JHT786504 JRB786503:JRP786504 KAX786503:KBL786504 KKT786503:KLH786504 KUP786503:KVD786504 LEL786503:LEZ786504 LOH786503:LOV786504 LYD786503:LYR786504 MHZ786503:MIN786504 MRV786503:MSJ786504 NBR786503:NCF786504 NLN786503:NMB786504 NVJ786503:NVX786504 OFF786503:OFT786504 OPB786503:OPP786504 OYX786503:OZL786504 PIT786503:PJH786504 PSP786503:PTD786504 QCL786503:QCZ786504 QMH786503:QMV786504 QWD786503:QWR786504 RFZ786503:RGN786504 RPV786503:RQJ786504 RZR786503:SAF786504 SJN786503:SKB786504 STJ786503:STX786504 TDF786503:TDT786504 TNB786503:TNP786504 TWX786503:TXL786504 UGT786503:UHH786504 UQP786503:URD786504 VAL786503:VAZ786504 VKH786503:VKV786504 VUD786503:VUR786504 WDZ786503:WEN786504 WNV786503:WOJ786504 WXR786503:WYF786504 BJ852039:BX852040 LF852039:LT852040 VB852039:VP852040 AEX852039:AFL852040 AOT852039:APH852040 AYP852039:AZD852040 BIL852039:BIZ852040 BSH852039:BSV852040 CCD852039:CCR852040 CLZ852039:CMN852040 CVV852039:CWJ852040 DFR852039:DGF852040 DPN852039:DQB852040 DZJ852039:DZX852040 EJF852039:EJT852040 ETB852039:ETP852040 FCX852039:FDL852040 FMT852039:FNH852040 FWP852039:FXD852040 GGL852039:GGZ852040 GQH852039:GQV852040 HAD852039:HAR852040 HJZ852039:HKN852040 HTV852039:HUJ852040 IDR852039:IEF852040 INN852039:IOB852040 IXJ852039:IXX852040 JHF852039:JHT852040 JRB852039:JRP852040 KAX852039:KBL852040 KKT852039:KLH852040 KUP852039:KVD852040 LEL852039:LEZ852040 LOH852039:LOV852040 LYD852039:LYR852040 MHZ852039:MIN852040 MRV852039:MSJ852040 NBR852039:NCF852040 NLN852039:NMB852040 NVJ852039:NVX852040 OFF852039:OFT852040 OPB852039:OPP852040 OYX852039:OZL852040 PIT852039:PJH852040 PSP852039:PTD852040 QCL852039:QCZ852040 QMH852039:QMV852040 QWD852039:QWR852040 RFZ852039:RGN852040 RPV852039:RQJ852040 RZR852039:SAF852040 SJN852039:SKB852040 STJ852039:STX852040 TDF852039:TDT852040 TNB852039:TNP852040 TWX852039:TXL852040 UGT852039:UHH852040 UQP852039:URD852040 VAL852039:VAZ852040 VKH852039:VKV852040 VUD852039:VUR852040 WDZ852039:WEN852040 WNV852039:WOJ852040 WXR852039:WYF852040 BJ917575:BX917576 LF917575:LT917576 VB917575:VP917576 AEX917575:AFL917576 AOT917575:APH917576 AYP917575:AZD917576 BIL917575:BIZ917576 BSH917575:BSV917576 CCD917575:CCR917576 CLZ917575:CMN917576 CVV917575:CWJ917576 DFR917575:DGF917576 DPN917575:DQB917576 DZJ917575:DZX917576 EJF917575:EJT917576 ETB917575:ETP917576 FCX917575:FDL917576 FMT917575:FNH917576 FWP917575:FXD917576 GGL917575:GGZ917576 GQH917575:GQV917576 HAD917575:HAR917576 HJZ917575:HKN917576 HTV917575:HUJ917576 IDR917575:IEF917576 INN917575:IOB917576 IXJ917575:IXX917576 JHF917575:JHT917576 JRB917575:JRP917576 KAX917575:KBL917576 KKT917575:KLH917576 KUP917575:KVD917576 LEL917575:LEZ917576 LOH917575:LOV917576 LYD917575:LYR917576 MHZ917575:MIN917576 MRV917575:MSJ917576 NBR917575:NCF917576 NLN917575:NMB917576 NVJ917575:NVX917576 OFF917575:OFT917576 OPB917575:OPP917576 OYX917575:OZL917576 PIT917575:PJH917576 PSP917575:PTD917576 QCL917575:QCZ917576 QMH917575:QMV917576 QWD917575:QWR917576 RFZ917575:RGN917576 RPV917575:RQJ917576 RZR917575:SAF917576 SJN917575:SKB917576 STJ917575:STX917576 TDF917575:TDT917576 TNB917575:TNP917576 TWX917575:TXL917576 UGT917575:UHH917576 UQP917575:URD917576 VAL917575:VAZ917576 VKH917575:VKV917576 VUD917575:VUR917576 WDZ917575:WEN917576 WNV917575:WOJ917576 WXR917575:WYF917576 BJ983111:BX983112 LF983111:LT983112 VB983111:VP983112 AEX983111:AFL983112 AOT983111:APH983112 AYP983111:AZD983112 BIL983111:BIZ983112 BSH983111:BSV983112 CCD983111:CCR983112 CLZ983111:CMN983112 CVV983111:CWJ983112 DFR983111:DGF983112 DPN983111:DQB983112 DZJ983111:DZX983112 EJF983111:EJT983112 ETB983111:ETP983112 FCX983111:FDL983112 FMT983111:FNH983112 FWP983111:FXD983112 GGL983111:GGZ983112 GQH983111:GQV983112 HAD983111:HAR983112 HJZ983111:HKN983112 HTV983111:HUJ983112 IDR983111:IEF983112 INN983111:IOB983112 IXJ983111:IXX983112 JHF983111:JHT983112 JRB983111:JRP983112 KAX983111:KBL983112 KKT983111:KLH983112 KUP983111:KVD983112 LEL983111:LEZ983112 LOH983111:LOV983112 LYD983111:LYR983112 MHZ983111:MIN983112 MRV983111:MSJ983112 NBR983111:NCF983112 NLN983111:NMB983112 NVJ983111:NVX983112 OFF983111:OFT983112 OPB983111:OPP983112 OYX983111:OZL983112 PIT983111:PJH983112 PSP983111:PTD983112 QCL983111:QCZ983112 QMH983111:QMV983112 QWD983111:QWR983112 RFZ983111:RGN983112 RPV983111:RQJ983112 RZR983111:SAF983112 SJN983111:SKB983112 STJ983111:STX983112 TDF983111:TDT983112 TNB983111:TNP983112 TWX983111:TXL983112 UGT983111:UHH983112 UQP983111:URD983112 VAL983111:VAZ983112 VKH983111:VKV983112 VUD983111:VUR983112 WDZ983111:WEN983112 WNV983111:WOJ983112 WXR983111:WYF983112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0"/>
  <sheetViews>
    <sheetView workbookViewId="0"/>
  </sheetViews>
  <sheetFormatPr defaultColWidth="9" defaultRowHeight="12"/>
  <cols>
    <col min="1" max="1" width="20" style="1008" bestFit="1" customWidth="1"/>
    <col min="2" max="2" width="63" style="1008" customWidth="1"/>
    <col min="3" max="3" width="5" style="1009" bestFit="1" customWidth="1"/>
    <col min="4" max="4" width="9" style="1010" customWidth="1"/>
    <col min="5" max="16384" width="9" style="1010"/>
  </cols>
  <sheetData>
    <row r="1" spans="1:5" ht="14.25">
      <c r="A1" s="1007" t="s">
        <v>2831</v>
      </c>
    </row>
    <row r="2" spans="1:5" ht="14.25">
      <c r="A2" s="1007" t="s">
        <v>2832</v>
      </c>
    </row>
    <row r="4" spans="1:5">
      <c r="A4" s="1486" t="s">
        <v>2833</v>
      </c>
      <c r="B4" s="1486"/>
      <c r="C4" s="1011" t="s">
        <v>2834</v>
      </c>
    </row>
    <row r="5" spans="1:5">
      <c r="A5" s="1012"/>
      <c r="B5" s="1012"/>
      <c r="C5" s="1011"/>
    </row>
    <row r="6" spans="1:5">
      <c r="A6" s="1012" t="s">
        <v>2835</v>
      </c>
      <c r="B6" s="1012" t="s">
        <v>2836</v>
      </c>
      <c r="C6" s="1013">
        <v>11</v>
      </c>
    </row>
    <row r="7" spans="1:5">
      <c r="A7" s="1486" t="s">
        <v>2837</v>
      </c>
      <c r="B7" s="1012" t="s">
        <v>2838</v>
      </c>
      <c r="C7" s="1013">
        <v>12</v>
      </c>
    </row>
    <row r="8" spans="1:5">
      <c r="A8" s="1486"/>
      <c r="B8" s="1012" t="s">
        <v>2839</v>
      </c>
      <c r="C8" s="1013">
        <v>13</v>
      </c>
    </row>
    <row r="9" spans="1:5" ht="48">
      <c r="A9" s="1486" t="s">
        <v>2840</v>
      </c>
      <c r="B9" s="1014" t="s">
        <v>2841</v>
      </c>
      <c r="C9" s="1015">
        <v>14</v>
      </c>
    </row>
    <row r="10" spans="1:5">
      <c r="A10" s="1486"/>
      <c r="B10" s="1016" t="s">
        <v>2842</v>
      </c>
      <c r="C10" s="1017">
        <v>15</v>
      </c>
      <c r="E10" s="889" t="s">
        <v>2843</v>
      </c>
    </row>
    <row r="11" spans="1:5">
      <c r="A11" s="1486"/>
      <c r="B11" s="1016" t="s">
        <v>2844</v>
      </c>
      <c r="C11" s="1017">
        <v>16</v>
      </c>
      <c r="E11" s="890" t="s">
        <v>2845</v>
      </c>
    </row>
    <row r="12" spans="1:5" ht="36">
      <c r="A12" s="1486"/>
      <c r="B12" s="1016" t="s">
        <v>2846</v>
      </c>
      <c r="C12" s="1017">
        <v>17</v>
      </c>
    </row>
    <row r="13" spans="1:5">
      <c r="A13" s="1486"/>
      <c r="B13" s="1018" t="s">
        <v>2847</v>
      </c>
      <c r="C13" s="1019">
        <v>18</v>
      </c>
    </row>
    <row r="14" spans="1:5" ht="12" customHeight="1">
      <c r="A14" s="1486" t="s">
        <v>2848</v>
      </c>
      <c r="B14" s="1014" t="s">
        <v>2849</v>
      </c>
      <c r="C14" s="1015">
        <v>19</v>
      </c>
    </row>
    <row r="15" spans="1:5">
      <c r="A15" s="1486"/>
      <c r="B15" s="1016" t="s">
        <v>2850</v>
      </c>
      <c r="C15" s="1017">
        <v>20</v>
      </c>
    </row>
    <row r="16" spans="1:5">
      <c r="A16" s="1486"/>
      <c r="B16" s="1016" t="s">
        <v>2851</v>
      </c>
      <c r="C16" s="1017">
        <v>21</v>
      </c>
    </row>
    <row r="17" spans="1:3">
      <c r="A17" s="1486"/>
      <c r="B17" s="1018" t="s">
        <v>2852</v>
      </c>
      <c r="C17" s="1019">
        <v>22</v>
      </c>
    </row>
    <row r="18" spans="1:3">
      <c r="A18" s="1486" t="s">
        <v>2853</v>
      </c>
      <c r="B18" s="1012" t="s">
        <v>2854</v>
      </c>
      <c r="C18" s="1013">
        <v>23</v>
      </c>
    </row>
    <row r="19" spans="1:3">
      <c r="A19" s="1486"/>
      <c r="B19" s="1014" t="s">
        <v>2855</v>
      </c>
      <c r="C19" s="1015">
        <v>24</v>
      </c>
    </row>
    <row r="20" spans="1:3">
      <c r="A20" s="1486"/>
      <c r="B20" s="1016" t="s">
        <v>2856</v>
      </c>
      <c r="C20" s="1017">
        <v>25</v>
      </c>
    </row>
    <row r="21" spans="1:3">
      <c r="A21" s="1486"/>
      <c r="B21" s="1018" t="s">
        <v>2857</v>
      </c>
      <c r="C21" s="1019">
        <v>26</v>
      </c>
    </row>
    <row r="22" spans="1:3" ht="24">
      <c r="A22" s="1012" t="s">
        <v>2858</v>
      </c>
      <c r="B22" s="1012" t="s">
        <v>2859</v>
      </c>
      <c r="C22" s="1013">
        <v>27</v>
      </c>
    </row>
    <row r="23" spans="1:3">
      <c r="A23" s="1012" t="s">
        <v>2860</v>
      </c>
      <c r="B23" s="1012" t="s">
        <v>2860</v>
      </c>
      <c r="C23" s="1013">
        <v>28</v>
      </c>
    </row>
    <row r="24" spans="1:3">
      <c r="A24" s="1012" t="s">
        <v>2861</v>
      </c>
      <c r="B24" s="1012" t="s">
        <v>2861</v>
      </c>
      <c r="C24" s="1013">
        <v>29</v>
      </c>
    </row>
    <row r="25" spans="1:3">
      <c r="A25" s="1486" t="s">
        <v>2862</v>
      </c>
      <c r="B25" s="1012" t="s">
        <v>2863</v>
      </c>
      <c r="C25" s="1013">
        <v>30</v>
      </c>
    </row>
    <row r="26" spans="1:3">
      <c r="A26" s="1486"/>
      <c r="B26" s="1012" t="s">
        <v>2864</v>
      </c>
      <c r="C26" s="1013">
        <v>31</v>
      </c>
    </row>
    <row r="27" spans="1:3">
      <c r="A27" s="1486" t="s">
        <v>2865</v>
      </c>
      <c r="B27" s="1012" t="s">
        <v>2866</v>
      </c>
      <c r="C27" s="1013">
        <v>32</v>
      </c>
    </row>
    <row r="28" spans="1:3">
      <c r="A28" s="1486"/>
      <c r="B28" s="1012" t="s">
        <v>2867</v>
      </c>
      <c r="C28" s="1013">
        <v>33</v>
      </c>
    </row>
    <row r="29" spans="1:3">
      <c r="A29" s="1486" t="s">
        <v>2868</v>
      </c>
      <c r="B29" s="1014" t="s">
        <v>2869</v>
      </c>
      <c r="C29" s="1015">
        <v>34</v>
      </c>
    </row>
    <row r="30" spans="1:3">
      <c r="A30" s="1486"/>
      <c r="B30" s="1016" t="s">
        <v>2870</v>
      </c>
      <c r="C30" s="1017">
        <v>35</v>
      </c>
    </row>
    <row r="31" spans="1:3">
      <c r="A31" s="1486"/>
      <c r="B31" s="1016" t="s">
        <v>2871</v>
      </c>
      <c r="C31" s="1017">
        <v>36</v>
      </c>
    </row>
    <row r="32" spans="1:3">
      <c r="A32" s="1486"/>
      <c r="B32" s="1018" t="s">
        <v>2872</v>
      </c>
      <c r="C32" s="1019">
        <v>37</v>
      </c>
    </row>
    <row r="33" spans="1:3">
      <c r="A33" s="1486" t="s">
        <v>2873</v>
      </c>
      <c r="B33" s="1014" t="s">
        <v>2874</v>
      </c>
      <c r="C33" s="1015">
        <v>38</v>
      </c>
    </row>
    <row r="34" spans="1:3">
      <c r="A34" s="1486"/>
      <c r="B34" s="1018" t="s">
        <v>2875</v>
      </c>
      <c r="C34" s="1019">
        <v>39</v>
      </c>
    </row>
    <row r="35" spans="1:3">
      <c r="A35" s="1486" t="s">
        <v>2876</v>
      </c>
      <c r="B35" s="1014" t="s">
        <v>2877</v>
      </c>
      <c r="C35" s="1015">
        <v>40</v>
      </c>
    </row>
    <row r="36" spans="1:3">
      <c r="A36" s="1486"/>
      <c r="B36" s="1016" t="s">
        <v>2878</v>
      </c>
      <c r="C36" s="1017">
        <v>41</v>
      </c>
    </row>
    <row r="37" spans="1:3">
      <c r="A37" s="1486"/>
      <c r="B37" s="1016" t="s">
        <v>2879</v>
      </c>
      <c r="C37" s="1017">
        <v>42</v>
      </c>
    </row>
    <row r="38" spans="1:3">
      <c r="A38" s="1486"/>
      <c r="B38" s="1016" t="s">
        <v>2880</v>
      </c>
      <c r="C38" s="1017">
        <v>43</v>
      </c>
    </row>
    <row r="39" spans="1:3">
      <c r="A39" s="1486"/>
      <c r="B39" s="1016" t="s">
        <v>2881</v>
      </c>
      <c r="C39" s="1017">
        <v>44</v>
      </c>
    </row>
    <row r="40" spans="1:3" ht="36">
      <c r="A40" s="1486"/>
      <c r="B40" s="1018" t="s">
        <v>2882</v>
      </c>
      <c r="C40" s="1019">
        <v>45</v>
      </c>
    </row>
    <row r="41" spans="1:3">
      <c r="A41" s="1012" t="s">
        <v>2883</v>
      </c>
      <c r="B41" s="1012" t="s">
        <v>2883</v>
      </c>
      <c r="C41" s="1013">
        <v>46</v>
      </c>
    </row>
    <row r="42" spans="1:3">
      <c r="A42" s="1012" t="s">
        <v>2884</v>
      </c>
      <c r="B42" s="1012" t="s">
        <v>2884</v>
      </c>
      <c r="C42" s="1013">
        <v>99</v>
      </c>
    </row>
    <row r="43" spans="1:3">
      <c r="A43" s="1020"/>
      <c r="B43" s="1020"/>
      <c r="C43" s="1021"/>
    </row>
    <row r="44" spans="1:3">
      <c r="A44" s="1020"/>
      <c r="B44" s="1020"/>
      <c r="C44" s="1021"/>
    </row>
    <row r="45" spans="1:3">
      <c r="A45" s="1020"/>
      <c r="B45" s="1020"/>
      <c r="C45" s="1021"/>
    </row>
    <row r="46" spans="1:3">
      <c r="A46" s="1020"/>
      <c r="B46" s="1020"/>
      <c r="C46" s="1021"/>
    </row>
    <row r="47" spans="1:3">
      <c r="A47" s="1020"/>
      <c r="B47" s="1020"/>
      <c r="C47" s="1021"/>
    </row>
    <row r="48" spans="1:3">
      <c r="A48" s="1020"/>
      <c r="B48" s="1020"/>
      <c r="C48" s="1021"/>
    </row>
    <row r="49" spans="1:3">
      <c r="A49" s="1020"/>
      <c r="B49" s="1020"/>
      <c r="C49" s="1021"/>
    </row>
    <row r="50" spans="1:3">
      <c r="A50" s="1020"/>
      <c r="B50" s="1020"/>
      <c r="C50" s="1021"/>
    </row>
    <row r="51" spans="1:3">
      <c r="A51" s="1020"/>
      <c r="B51" s="1020"/>
      <c r="C51" s="1021"/>
    </row>
    <row r="52" spans="1:3">
      <c r="A52" s="1020"/>
      <c r="B52" s="1020"/>
      <c r="C52" s="1021"/>
    </row>
    <row r="53" spans="1:3">
      <c r="A53" s="1020"/>
      <c r="B53" s="1020"/>
      <c r="C53" s="1021"/>
    </row>
    <row r="54" spans="1:3">
      <c r="A54" s="1020"/>
      <c r="B54" s="1020"/>
      <c r="C54" s="1021"/>
    </row>
    <row r="55" spans="1:3">
      <c r="A55" s="1020"/>
      <c r="B55" s="1020"/>
      <c r="C55" s="1021"/>
    </row>
    <row r="56" spans="1:3">
      <c r="A56" s="1020"/>
      <c r="B56" s="1020"/>
      <c r="C56" s="1021"/>
    </row>
    <row r="57" spans="1:3">
      <c r="A57" s="1020"/>
      <c r="B57" s="1020"/>
      <c r="C57" s="1021"/>
    </row>
    <row r="58" spans="1:3">
      <c r="A58" s="1020"/>
      <c r="B58" s="1020"/>
      <c r="C58" s="1021"/>
    </row>
    <row r="59" spans="1:3">
      <c r="A59" s="1020"/>
      <c r="B59" s="1020"/>
      <c r="C59" s="1021"/>
    </row>
    <row r="60" spans="1:3">
      <c r="B60" s="1020"/>
    </row>
  </sheetData>
  <mergeCells count="10">
    <mergeCell ref="A27:A28"/>
    <mergeCell ref="A29:A32"/>
    <mergeCell ref="A33:A34"/>
    <mergeCell ref="A35:A40"/>
    <mergeCell ref="A4:B4"/>
    <mergeCell ref="A7:A8"/>
    <mergeCell ref="A9:A13"/>
    <mergeCell ref="A14:A17"/>
    <mergeCell ref="A18:A21"/>
    <mergeCell ref="A25:A26"/>
  </mergeCells>
  <phoneticPr fontId="139"/>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heetViews>
  <sheetFormatPr defaultColWidth="9" defaultRowHeight="12"/>
  <cols>
    <col min="1" max="1" width="20" style="299" bestFit="1" customWidth="1"/>
    <col min="2" max="2" width="63" style="299" customWidth="1"/>
    <col min="3" max="3" width="5" style="300" bestFit="1" customWidth="1"/>
    <col min="4" max="4" width="9" style="301" customWidth="1"/>
    <col min="5" max="16384" width="9" style="301"/>
  </cols>
  <sheetData>
    <row r="1" spans="1:5" ht="14.25">
      <c r="A1" s="298" t="s">
        <v>2831</v>
      </c>
    </row>
    <row r="2" spans="1:5" ht="14.25">
      <c r="A2" s="298" t="s">
        <v>2832</v>
      </c>
    </row>
    <row r="4" spans="1:5">
      <c r="A4" s="1487" t="s">
        <v>2833</v>
      </c>
      <c r="B4" s="1487"/>
      <c r="C4" s="302" t="s">
        <v>2834</v>
      </c>
    </row>
    <row r="5" spans="1:5">
      <c r="A5" s="303"/>
      <c r="B5" s="303"/>
      <c r="C5" s="302"/>
    </row>
    <row r="6" spans="1:5">
      <c r="A6" s="303" t="s">
        <v>2835</v>
      </c>
      <c r="B6" s="303" t="s">
        <v>2836</v>
      </c>
      <c r="C6" s="304">
        <v>11</v>
      </c>
    </row>
    <row r="7" spans="1:5">
      <c r="A7" s="1487" t="s">
        <v>2837</v>
      </c>
      <c r="B7" s="303" t="s">
        <v>2838</v>
      </c>
      <c r="C7" s="304">
        <v>12</v>
      </c>
    </row>
    <row r="8" spans="1:5">
      <c r="A8" s="1487"/>
      <c r="B8" s="303" t="s">
        <v>2839</v>
      </c>
      <c r="C8" s="304">
        <v>13</v>
      </c>
    </row>
    <row r="9" spans="1:5" ht="48">
      <c r="A9" s="1487" t="s">
        <v>2840</v>
      </c>
      <c r="B9" s="305" t="s">
        <v>2841</v>
      </c>
      <c r="C9" s="306">
        <v>14</v>
      </c>
    </row>
    <row r="10" spans="1:5">
      <c r="A10" s="1487"/>
      <c r="B10" s="307" t="s">
        <v>2842</v>
      </c>
      <c r="C10" s="308">
        <v>15</v>
      </c>
      <c r="E10" s="309" t="s">
        <v>2843</v>
      </c>
    </row>
    <row r="11" spans="1:5">
      <c r="A11" s="1487"/>
      <c r="B11" s="307" t="s">
        <v>2844</v>
      </c>
      <c r="C11" s="308">
        <v>16</v>
      </c>
      <c r="E11" s="310" t="s">
        <v>2845</v>
      </c>
    </row>
    <row r="12" spans="1:5" ht="36">
      <c r="A12" s="1487"/>
      <c r="B12" s="307" t="s">
        <v>2846</v>
      </c>
      <c r="C12" s="308">
        <v>17</v>
      </c>
    </row>
    <row r="13" spans="1:5">
      <c r="A13" s="1487"/>
      <c r="B13" s="311" t="s">
        <v>2847</v>
      </c>
      <c r="C13" s="312">
        <v>18</v>
      </c>
    </row>
    <row r="14" spans="1:5" ht="12" customHeight="1">
      <c r="A14" s="1487" t="s">
        <v>2848</v>
      </c>
      <c r="B14" s="305" t="s">
        <v>2849</v>
      </c>
      <c r="C14" s="306">
        <v>19</v>
      </c>
    </row>
    <row r="15" spans="1:5">
      <c r="A15" s="1487"/>
      <c r="B15" s="307" t="s">
        <v>2850</v>
      </c>
      <c r="C15" s="308">
        <v>20</v>
      </c>
    </row>
    <row r="16" spans="1:5">
      <c r="A16" s="1487"/>
      <c r="B16" s="307" t="s">
        <v>2851</v>
      </c>
      <c r="C16" s="308">
        <v>21</v>
      </c>
    </row>
    <row r="17" spans="1:3">
      <c r="A17" s="1487"/>
      <c r="B17" s="311" t="s">
        <v>2852</v>
      </c>
      <c r="C17" s="312">
        <v>22</v>
      </c>
    </row>
    <row r="18" spans="1:3">
      <c r="A18" s="1487" t="s">
        <v>2853</v>
      </c>
      <c r="B18" s="303" t="s">
        <v>2854</v>
      </c>
      <c r="C18" s="304">
        <v>23</v>
      </c>
    </row>
    <row r="19" spans="1:3">
      <c r="A19" s="1487"/>
      <c r="B19" s="305" t="s">
        <v>2855</v>
      </c>
      <c r="C19" s="306">
        <v>24</v>
      </c>
    </row>
    <row r="20" spans="1:3">
      <c r="A20" s="1487"/>
      <c r="B20" s="307" t="s">
        <v>2856</v>
      </c>
      <c r="C20" s="308">
        <v>25</v>
      </c>
    </row>
    <row r="21" spans="1:3">
      <c r="A21" s="1487"/>
      <c r="B21" s="311" t="s">
        <v>2857</v>
      </c>
      <c r="C21" s="312">
        <v>26</v>
      </c>
    </row>
    <row r="22" spans="1:3" ht="24">
      <c r="A22" s="303" t="s">
        <v>2858</v>
      </c>
      <c r="B22" s="303" t="s">
        <v>2859</v>
      </c>
      <c r="C22" s="304">
        <v>27</v>
      </c>
    </row>
    <row r="23" spans="1:3">
      <c r="A23" s="303" t="s">
        <v>2860</v>
      </c>
      <c r="B23" s="303" t="s">
        <v>2860</v>
      </c>
      <c r="C23" s="304">
        <v>28</v>
      </c>
    </row>
    <row r="24" spans="1:3">
      <c r="A24" s="303" t="s">
        <v>2861</v>
      </c>
      <c r="B24" s="303" t="s">
        <v>2861</v>
      </c>
      <c r="C24" s="304">
        <v>29</v>
      </c>
    </row>
    <row r="25" spans="1:3">
      <c r="A25" s="1487" t="s">
        <v>2862</v>
      </c>
      <c r="B25" s="303" t="s">
        <v>2863</v>
      </c>
      <c r="C25" s="304">
        <v>30</v>
      </c>
    </row>
    <row r="26" spans="1:3">
      <c r="A26" s="1487"/>
      <c r="B26" s="303" t="s">
        <v>2864</v>
      </c>
      <c r="C26" s="304">
        <v>31</v>
      </c>
    </row>
    <row r="27" spans="1:3">
      <c r="A27" s="1487" t="s">
        <v>2865</v>
      </c>
      <c r="B27" s="303" t="s">
        <v>2866</v>
      </c>
      <c r="C27" s="304">
        <v>32</v>
      </c>
    </row>
    <row r="28" spans="1:3">
      <c r="A28" s="1487"/>
      <c r="B28" s="303" t="s">
        <v>2867</v>
      </c>
      <c r="C28" s="304">
        <v>33</v>
      </c>
    </row>
    <row r="29" spans="1:3">
      <c r="A29" s="1487" t="s">
        <v>2868</v>
      </c>
      <c r="B29" s="305" t="s">
        <v>2869</v>
      </c>
      <c r="C29" s="306">
        <v>34</v>
      </c>
    </row>
    <row r="30" spans="1:3">
      <c r="A30" s="1487"/>
      <c r="B30" s="307" t="s">
        <v>2870</v>
      </c>
      <c r="C30" s="308">
        <v>35</v>
      </c>
    </row>
    <row r="31" spans="1:3">
      <c r="A31" s="1487"/>
      <c r="B31" s="307" t="s">
        <v>2871</v>
      </c>
      <c r="C31" s="308">
        <v>36</v>
      </c>
    </row>
    <row r="32" spans="1:3">
      <c r="A32" s="1487"/>
      <c r="B32" s="311" t="s">
        <v>2872</v>
      </c>
      <c r="C32" s="312">
        <v>37</v>
      </c>
    </row>
    <row r="33" spans="1:3">
      <c r="A33" s="1487" t="s">
        <v>2873</v>
      </c>
      <c r="B33" s="305" t="s">
        <v>2874</v>
      </c>
      <c r="C33" s="306">
        <v>38</v>
      </c>
    </row>
    <row r="34" spans="1:3">
      <c r="A34" s="1487"/>
      <c r="B34" s="311" t="s">
        <v>2875</v>
      </c>
      <c r="C34" s="312">
        <v>39</v>
      </c>
    </row>
    <row r="35" spans="1:3">
      <c r="A35" s="1487" t="s">
        <v>2876</v>
      </c>
      <c r="B35" s="305" t="s">
        <v>2877</v>
      </c>
      <c r="C35" s="306">
        <v>40</v>
      </c>
    </row>
    <row r="36" spans="1:3">
      <c r="A36" s="1487"/>
      <c r="B36" s="307" t="s">
        <v>2878</v>
      </c>
      <c r="C36" s="308">
        <v>41</v>
      </c>
    </row>
    <row r="37" spans="1:3">
      <c r="A37" s="1487"/>
      <c r="B37" s="307" t="s">
        <v>2879</v>
      </c>
      <c r="C37" s="308">
        <v>42</v>
      </c>
    </row>
    <row r="38" spans="1:3">
      <c r="A38" s="1487"/>
      <c r="B38" s="307" t="s">
        <v>2880</v>
      </c>
      <c r="C38" s="308">
        <v>43</v>
      </c>
    </row>
    <row r="39" spans="1:3">
      <c r="A39" s="1487"/>
      <c r="B39" s="307" t="s">
        <v>2881</v>
      </c>
      <c r="C39" s="308">
        <v>44</v>
      </c>
    </row>
    <row r="40" spans="1:3" ht="36">
      <c r="A40" s="1487"/>
      <c r="B40" s="311" t="s">
        <v>2882</v>
      </c>
      <c r="C40" s="312">
        <v>45</v>
      </c>
    </row>
    <row r="41" spans="1:3">
      <c r="A41" s="303" t="s">
        <v>2883</v>
      </c>
      <c r="B41" s="303" t="s">
        <v>2883</v>
      </c>
      <c r="C41" s="304">
        <v>46</v>
      </c>
    </row>
    <row r="42" spans="1:3">
      <c r="A42" s="303" t="s">
        <v>2884</v>
      </c>
      <c r="B42" s="303" t="s">
        <v>2884</v>
      </c>
      <c r="C42" s="304">
        <v>99</v>
      </c>
    </row>
    <row r="43" spans="1:3">
      <c r="A43" s="313"/>
      <c r="B43" s="313"/>
      <c r="C43" s="314"/>
    </row>
    <row r="44" spans="1:3">
      <c r="A44" s="313"/>
      <c r="B44" s="313"/>
      <c r="C44" s="314"/>
    </row>
    <row r="45" spans="1:3">
      <c r="A45" s="313"/>
      <c r="B45" s="313"/>
      <c r="C45" s="314"/>
    </row>
    <row r="46" spans="1:3">
      <c r="A46" s="313"/>
      <c r="B46" s="313"/>
      <c r="C46" s="314"/>
    </row>
    <row r="47" spans="1:3">
      <c r="A47" s="313"/>
      <c r="B47" s="313"/>
      <c r="C47" s="314"/>
    </row>
    <row r="48" spans="1:3">
      <c r="A48" s="313"/>
      <c r="B48" s="313"/>
      <c r="C48" s="314"/>
    </row>
    <row r="49" spans="1:3">
      <c r="A49" s="313"/>
      <c r="B49" s="313"/>
      <c r="C49" s="314"/>
    </row>
    <row r="50" spans="1:3">
      <c r="A50" s="313"/>
      <c r="B50" s="313"/>
      <c r="C50" s="314"/>
    </row>
    <row r="51" spans="1:3">
      <c r="A51" s="313"/>
      <c r="B51" s="313"/>
      <c r="C51" s="314"/>
    </row>
    <row r="52" spans="1:3">
      <c r="A52" s="313"/>
      <c r="B52" s="313"/>
      <c r="C52" s="314"/>
    </row>
    <row r="53" spans="1:3">
      <c r="A53" s="313"/>
      <c r="B53" s="313"/>
      <c r="C53" s="314"/>
    </row>
    <row r="54" spans="1:3">
      <c r="A54" s="313"/>
      <c r="B54" s="313"/>
      <c r="C54" s="314"/>
    </row>
    <row r="55" spans="1:3">
      <c r="A55" s="313"/>
      <c r="B55" s="313"/>
      <c r="C55" s="314"/>
    </row>
    <row r="56" spans="1:3">
      <c r="A56" s="313"/>
      <c r="B56" s="313"/>
      <c r="C56" s="314"/>
    </row>
    <row r="57" spans="1:3">
      <c r="A57" s="313"/>
      <c r="B57" s="313"/>
      <c r="C57" s="314"/>
    </row>
    <row r="58" spans="1:3">
      <c r="A58" s="313"/>
      <c r="B58" s="313"/>
      <c r="C58" s="314"/>
    </row>
    <row r="59" spans="1:3">
      <c r="A59" s="313"/>
      <c r="B59" s="313"/>
      <c r="C59" s="314"/>
    </row>
    <row r="60" spans="1:3">
      <c r="B60" s="313"/>
    </row>
  </sheetData>
  <mergeCells count="10">
    <mergeCell ref="A27:A28"/>
    <mergeCell ref="A29:A32"/>
    <mergeCell ref="A33:A34"/>
    <mergeCell ref="A35:A40"/>
    <mergeCell ref="A4:B4"/>
    <mergeCell ref="A7:A8"/>
    <mergeCell ref="A9:A13"/>
    <mergeCell ref="A14:A17"/>
    <mergeCell ref="A18:A21"/>
    <mergeCell ref="A25:A26"/>
  </mergeCells>
  <phoneticPr fontId="139"/>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79"/>
  <sheetViews>
    <sheetView zoomScaleNormal="100" workbookViewId="0"/>
  </sheetViews>
  <sheetFormatPr defaultColWidth="9" defaultRowHeight="18" customHeight="1"/>
  <cols>
    <col min="1" max="1" width="10.625" style="315" customWidth="1"/>
    <col min="2" max="15" width="5.375" style="315" customWidth="1"/>
    <col min="16" max="16" width="0.875" style="315" customWidth="1"/>
    <col min="17" max="17" width="10.625" style="315" customWidth="1"/>
    <col min="18" max="24" width="5.375" style="315" customWidth="1"/>
    <col min="25" max="25" width="9" style="315" customWidth="1"/>
    <col min="26" max="16384" width="9" style="315"/>
  </cols>
  <sheetData>
    <row r="1" spans="1:24" ht="18" customHeight="1">
      <c r="A1" s="315" t="s">
        <v>2885</v>
      </c>
      <c r="L1" s="316"/>
      <c r="M1" s="316"/>
      <c r="N1" s="316"/>
      <c r="O1" s="316"/>
      <c r="U1" s="1488">
        <v>20190401</v>
      </c>
      <c r="V1" s="1488"/>
      <c r="W1" s="1488"/>
      <c r="X1" s="1488"/>
    </row>
    <row r="2" spans="1:24" ht="6.75" customHeight="1">
      <c r="L2" s="317"/>
      <c r="M2" s="317"/>
      <c r="N2" s="317"/>
      <c r="O2" s="317"/>
    </row>
    <row r="3" spans="1:24" ht="18" customHeight="1">
      <c r="A3" s="1489" t="s">
        <v>2886</v>
      </c>
      <c r="B3" s="1489"/>
      <c r="C3" s="1489"/>
      <c r="D3" s="1489"/>
      <c r="E3" s="1489"/>
      <c r="F3" s="1489"/>
      <c r="G3" s="1489"/>
      <c r="H3" s="1489"/>
      <c r="I3" s="1489"/>
      <c r="J3" s="1489"/>
      <c r="K3" s="1489"/>
      <c r="L3" s="1489"/>
      <c r="M3" s="1489"/>
      <c r="N3" s="1489"/>
      <c r="O3" s="1489"/>
      <c r="P3" s="1489"/>
      <c r="Q3" s="1489"/>
      <c r="R3" s="1489"/>
      <c r="S3" s="1489"/>
      <c r="T3" s="1489"/>
      <c r="U3" s="1489"/>
      <c r="V3" s="1489"/>
      <c r="W3" s="1489"/>
      <c r="X3" s="1489"/>
    </row>
    <row r="4" spans="1:24" ht="18" customHeight="1">
      <c r="A4" s="1489"/>
      <c r="B4" s="1489"/>
      <c r="C4" s="1489"/>
      <c r="D4" s="1489"/>
      <c r="E4" s="1489"/>
      <c r="F4" s="1489"/>
      <c r="G4" s="1489"/>
      <c r="H4" s="1489"/>
      <c r="I4" s="1489"/>
      <c r="J4" s="1489"/>
      <c r="K4" s="1489"/>
      <c r="L4" s="1489"/>
      <c r="M4" s="1489"/>
      <c r="N4" s="1489"/>
      <c r="O4" s="1489"/>
      <c r="P4" s="1489"/>
      <c r="Q4" s="1489"/>
      <c r="R4" s="1489"/>
      <c r="S4" s="1489"/>
      <c r="T4" s="1489"/>
      <c r="U4" s="1489"/>
      <c r="V4" s="1489"/>
      <c r="W4" s="1489"/>
      <c r="X4" s="1489"/>
    </row>
    <row r="5" spans="1:24" ht="6.75" customHeight="1">
      <c r="A5" s="1490"/>
      <c r="B5" s="1490"/>
      <c r="C5" s="1490"/>
      <c r="D5" s="1490"/>
      <c r="E5" s="1490"/>
      <c r="F5" s="1490"/>
      <c r="G5" s="1490"/>
      <c r="H5" s="1490"/>
      <c r="I5" s="1490"/>
      <c r="J5" s="1490"/>
      <c r="K5" s="1490"/>
      <c r="L5" s="1490"/>
      <c r="M5" s="1490"/>
      <c r="N5" s="1490"/>
      <c r="O5" s="1490"/>
      <c r="P5" s="318"/>
      <c r="Q5" s="1490"/>
      <c r="R5" s="1490"/>
      <c r="S5" s="1490"/>
      <c r="T5" s="1490"/>
      <c r="U5" s="1490"/>
      <c r="V5" s="1490"/>
      <c r="W5" s="1490"/>
      <c r="X5" s="1490"/>
    </row>
    <row r="6" spans="1:24" ht="18" customHeight="1">
      <c r="A6" s="319" t="s">
        <v>2887</v>
      </c>
      <c r="B6" s="1491" t="s">
        <v>2888</v>
      </c>
      <c r="C6" s="1491"/>
      <c r="D6" s="1491"/>
      <c r="E6" s="1491"/>
      <c r="F6" s="1491"/>
      <c r="G6" s="1491"/>
      <c r="H6" s="1491"/>
      <c r="I6" s="1491"/>
      <c r="J6" s="1491"/>
      <c r="K6" s="1491"/>
      <c r="L6" s="1491"/>
      <c r="M6" s="1491"/>
      <c r="N6" s="1491"/>
      <c r="O6" s="1491"/>
      <c r="Q6" s="319" t="s">
        <v>2887</v>
      </c>
      <c r="R6" s="1491" t="s">
        <v>2888</v>
      </c>
      <c r="S6" s="1491"/>
      <c r="T6" s="1491"/>
      <c r="U6" s="1491"/>
      <c r="V6" s="1491"/>
      <c r="W6" s="1491"/>
      <c r="X6" s="1491"/>
    </row>
    <row r="7" spans="1:24" ht="18" customHeight="1">
      <c r="A7" s="1494" t="s">
        <v>2889</v>
      </c>
      <c r="B7" s="1495"/>
      <c r="C7" s="1495"/>
      <c r="D7" s="1495"/>
      <c r="E7" s="1495"/>
      <c r="F7" s="1495"/>
      <c r="G7" s="1495"/>
      <c r="H7" s="1495"/>
      <c r="I7" s="1495"/>
      <c r="J7" s="1495"/>
      <c r="K7" s="1495"/>
      <c r="L7" s="1495"/>
      <c r="M7" s="1495"/>
      <c r="N7" s="1495"/>
      <c r="O7" s="1496"/>
      <c r="Q7" s="1497" t="s">
        <v>2890</v>
      </c>
      <c r="R7" s="1498"/>
      <c r="S7" s="1498"/>
      <c r="T7" s="1498"/>
      <c r="U7" s="1498"/>
      <c r="V7" s="1498"/>
      <c r="W7" s="1498"/>
      <c r="X7" s="1499"/>
    </row>
    <row r="8" spans="1:24" s="326" customFormat="1" ht="17.100000000000001" customHeight="1">
      <c r="A8" s="320" t="s">
        <v>2891</v>
      </c>
      <c r="B8" s="321" t="s">
        <v>2892</v>
      </c>
      <c r="C8" s="322"/>
      <c r="D8" s="322"/>
      <c r="E8" s="322"/>
      <c r="F8" s="322"/>
      <c r="G8" s="322"/>
      <c r="H8" s="322"/>
      <c r="I8" s="322"/>
      <c r="J8" s="323"/>
      <c r="K8" s="324" t="s">
        <v>2893</v>
      </c>
      <c r="L8" s="322"/>
      <c r="M8" s="322"/>
      <c r="N8" s="322"/>
      <c r="O8" s="325"/>
      <c r="Q8" s="321" t="s">
        <v>2894</v>
      </c>
      <c r="S8" s="322"/>
      <c r="T8" s="322"/>
      <c r="U8" s="322"/>
      <c r="V8" s="322"/>
      <c r="W8" s="322"/>
      <c r="X8" s="325"/>
    </row>
    <row r="9" spans="1:24" s="326" customFormat="1" ht="17.100000000000001" customHeight="1">
      <c r="A9" s="320" t="s">
        <v>2891</v>
      </c>
      <c r="B9" s="321" t="s">
        <v>2895</v>
      </c>
      <c r="C9" s="322"/>
      <c r="D9" s="322"/>
      <c r="E9" s="322"/>
      <c r="F9" s="322"/>
      <c r="G9" s="322"/>
      <c r="H9" s="322"/>
      <c r="I9" s="322"/>
      <c r="J9" s="323"/>
      <c r="K9" s="324" t="s">
        <v>2896</v>
      </c>
      <c r="L9" s="322"/>
      <c r="M9" s="322"/>
      <c r="N9" s="322"/>
      <c r="O9" s="325"/>
      <c r="Q9" s="320" t="s">
        <v>2897</v>
      </c>
      <c r="R9" s="321" t="s">
        <v>2898</v>
      </c>
      <c r="S9" s="322"/>
      <c r="T9" s="322"/>
      <c r="U9" s="322"/>
      <c r="V9" s="322"/>
      <c r="W9" s="322"/>
      <c r="X9" s="325"/>
    </row>
    <row r="10" spans="1:24" s="326" customFormat="1" ht="17.100000000000001" customHeight="1">
      <c r="A10" s="320" t="s">
        <v>2891</v>
      </c>
      <c r="B10" s="321" t="s">
        <v>2899</v>
      </c>
      <c r="C10" s="322"/>
      <c r="D10" s="322"/>
      <c r="E10" s="322"/>
      <c r="F10" s="322"/>
      <c r="G10" s="322"/>
      <c r="H10" s="322"/>
      <c r="I10" s="322"/>
      <c r="J10" s="323"/>
      <c r="K10" s="324" t="s">
        <v>2900</v>
      </c>
      <c r="L10" s="322"/>
      <c r="M10" s="322"/>
      <c r="N10" s="322"/>
      <c r="O10" s="325"/>
    </row>
    <row r="11" spans="1:24" s="326" customFormat="1" ht="17.100000000000001" customHeight="1">
      <c r="A11" s="320" t="s">
        <v>2891</v>
      </c>
      <c r="B11" s="321" t="s">
        <v>2901</v>
      </c>
      <c r="C11" s="322"/>
      <c r="D11" s="322"/>
      <c r="E11" s="322"/>
      <c r="F11" s="322"/>
      <c r="G11" s="322"/>
      <c r="H11" s="322"/>
      <c r="I11" s="322"/>
      <c r="J11" s="323"/>
      <c r="K11" s="324" t="s">
        <v>2902</v>
      </c>
      <c r="L11" s="322"/>
      <c r="M11" s="322"/>
      <c r="N11" s="322"/>
      <c r="O11" s="325"/>
      <c r="Q11" s="1500" t="s">
        <v>2903</v>
      </c>
      <c r="R11" s="1501"/>
      <c r="S11" s="1501"/>
      <c r="T11" s="1501"/>
      <c r="U11" s="1501"/>
      <c r="V11" s="1501"/>
      <c r="W11" s="1501"/>
      <c r="X11" s="1502"/>
    </row>
    <row r="12" spans="1:24" s="326" customFormat="1" ht="17.100000000000001" customHeight="1">
      <c r="A12" s="1503" t="s">
        <v>2904</v>
      </c>
      <c r="B12" s="327" t="s">
        <v>2905</v>
      </c>
      <c r="C12" s="328"/>
      <c r="D12" s="328"/>
      <c r="E12" s="328"/>
      <c r="F12" s="328"/>
      <c r="G12" s="328"/>
      <c r="H12" s="328"/>
      <c r="I12" s="328"/>
      <c r="J12" s="328"/>
      <c r="K12" s="329"/>
      <c r="L12" s="328"/>
      <c r="M12" s="328"/>
      <c r="N12" s="328"/>
      <c r="O12" s="330"/>
      <c r="Q12" s="331" t="s">
        <v>2897</v>
      </c>
      <c r="R12" s="332" t="s">
        <v>2906</v>
      </c>
      <c r="S12" s="333"/>
      <c r="T12" s="333"/>
      <c r="U12" s="333"/>
      <c r="V12" s="333"/>
      <c r="W12" s="333"/>
      <c r="X12" s="334"/>
    </row>
    <row r="13" spans="1:24" s="326" customFormat="1" ht="17.100000000000001" customHeight="1">
      <c r="A13" s="1503"/>
      <c r="B13" s="335" t="s">
        <v>2907</v>
      </c>
      <c r="C13" s="336"/>
      <c r="D13" s="336"/>
      <c r="E13" s="336"/>
      <c r="F13" s="336"/>
      <c r="G13" s="336"/>
      <c r="H13" s="336"/>
      <c r="I13" s="336"/>
      <c r="J13" s="336"/>
      <c r="K13" s="337" t="s">
        <v>2908</v>
      </c>
      <c r="L13" s="338"/>
      <c r="M13" s="336"/>
      <c r="N13" s="336"/>
      <c r="O13" s="339"/>
      <c r="Q13" s="340"/>
      <c r="R13" s="341" t="s">
        <v>2909</v>
      </c>
      <c r="S13" s="342"/>
      <c r="T13" s="342"/>
      <c r="U13" s="342"/>
      <c r="V13" s="342"/>
      <c r="W13" s="342"/>
      <c r="X13" s="343"/>
    </row>
    <row r="14" spans="1:24" s="326" customFormat="1" ht="17.100000000000001" customHeight="1">
      <c r="A14" s="344" t="s">
        <v>2910</v>
      </c>
      <c r="B14" s="335" t="s">
        <v>2911</v>
      </c>
      <c r="C14" s="336"/>
      <c r="D14" s="336"/>
      <c r="E14" s="336"/>
      <c r="F14" s="336"/>
      <c r="G14" s="336"/>
      <c r="H14" s="336"/>
      <c r="I14" s="336"/>
      <c r="J14" s="336"/>
      <c r="K14" s="337"/>
      <c r="L14" s="336"/>
      <c r="M14" s="336"/>
      <c r="N14" s="336"/>
      <c r="O14" s="339"/>
      <c r="Q14" s="344"/>
      <c r="R14" s="345"/>
      <c r="S14" s="326" t="s">
        <v>2912</v>
      </c>
      <c r="X14" s="346"/>
    </row>
    <row r="15" spans="1:24" s="326" customFormat="1" ht="17.100000000000001" customHeight="1">
      <c r="A15" s="1504" t="s">
        <v>2913</v>
      </c>
      <c r="B15" s="335" t="s">
        <v>2914</v>
      </c>
      <c r="C15" s="336"/>
      <c r="D15" s="336"/>
      <c r="E15" s="336"/>
      <c r="F15" s="336"/>
      <c r="G15" s="336"/>
      <c r="H15" s="336"/>
      <c r="I15" s="336"/>
      <c r="J15" s="336"/>
      <c r="K15" s="337" t="s">
        <v>2915</v>
      </c>
      <c r="L15" s="338"/>
      <c r="M15" s="336"/>
      <c r="N15" s="336"/>
      <c r="O15" s="339"/>
      <c r="Q15" s="344"/>
      <c r="R15" s="345"/>
      <c r="S15" s="326" t="s">
        <v>2916</v>
      </c>
      <c r="X15" s="346"/>
    </row>
    <row r="16" spans="1:24" s="326" customFormat="1" ht="17.100000000000001" customHeight="1">
      <c r="A16" s="1504"/>
      <c r="B16" s="335" t="s">
        <v>2917</v>
      </c>
      <c r="C16" s="336"/>
      <c r="D16" s="336"/>
      <c r="E16" s="336"/>
      <c r="F16" s="336"/>
      <c r="G16" s="336"/>
      <c r="H16" s="336"/>
      <c r="I16" s="336"/>
      <c r="J16" s="336"/>
      <c r="K16" s="337" t="s">
        <v>2918</v>
      </c>
      <c r="L16" s="338"/>
      <c r="M16" s="336"/>
      <c r="N16" s="336"/>
      <c r="O16" s="339"/>
      <c r="Q16" s="344"/>
      <c r="R16" s="341" t="s">
        <v>2919</v>
      </c>
      <c r="S16" s="342"/>
      <c r="T16" s="342"/>
      <c r="U16" s="342"/>
      <c r="V16" s="342"/>
      <c r="W16" s="342"/>
      <c r="X16" s="343"/>
    </row>
    <row r="17" spans="1:24" s="326" customFormat="1" ht="17.100000000000001" customHeight="1">
      <c r="A17" s="1504"/>
      <c r="B17" s="335" t="s">
        <v>2920</v>
      </c>
      <c r="C17" s="336"/>
      <c r="D17" s="336"/>
      <c r="E17" s="336"/>
      <c r="F17" s="336"/>
      <c r="G17" s="336"/>
      <c r="H17" s="336"/>
      <c r="I17" s="336"/>
      <c r="J17" s="336"/>
      <c r="K17" s="337" t="s">
        <v>2918</v>
      </c>
      <c r="L17" s="338"/>
      <c r="M17" s="336"/>
      <c r="N17" s="336"/>
      <c r="O17" s="339"/>
      <c r="Q17" s="344"/>
      <c r="R17" s="345"/>
      <c r="S17" s="326" t="s">
        <v>2921</v>
      </c>
      <c r="X17" s="346"/>
    </row>
    <row r="18" spans="1:24" s="326" customFormat="1" ht="17.100000000000001" customHeight="1">
      <c r="A18" s="347" t="s">
        <v>2922</v>
      </c>
      <c r="B18" s="335" t="s">
        <v>2923</v>
      </c>
      <c r="C18" s="336"/>
      <c r="D18" s="336"/>
      <c r="E18" s="336"/>
      <c r="F18" s="336"/>
      <c r="G18" s="336"/>
      <c r="H18" s="336"/>
      <c r="I18" s="336"/>
      <c r="J18" s="336"/>
      <c r="K18" s="337" t="s">
        <v>2918</v>
      </c>
      <c r="L18" s="338"/>
      <c r="M18" s="336"/>
      <c r="N18" s="336"/>
      <c r="O18" s="339"/>
      <c r="Q18" s="348"/>
      <c r="R18" s="349"/>
      <c r="S18" s="350" t="s">
        <v>2924</v>
      </c>
      <c r="T18" s="350"/>
      <c r="U18" s="350"/>
      <c r="V18" s="350"/>
      <c r="W18" s="350"/>
      <c r="X18" s="351"/>
    </row>
    <row r="19" spans="1:24" s="326" customFormat="1" ht="17.100000000000001" customHeight="1">
      <c r="A19" s="347" t="s">
        <v>2925</v>
      </c>
      <c r="B19" s="335" t="s">
        <v>2926</v>
      </c>
      <c r="C19" s="336"/>
      <c r="D19" s="336"/>
      <c r="E19" s="336"/>
      <c r="F19" s="336"/>
      <c r="G19" s="336"/>
      <c r="H19" s="336"/>
      <c r="I19" s="336"/>
      <c r="J19" s="336"/>
      <c r="K19" s="337"/>
      <c r="L19" s="336"/>
      <c r="M19" s="336"/>
      <c r="N19" s="336"/>
      <c r="O19" s="339"/>
      <c r="Q19" s="332" t="s">
        <v>2927</v>
      </c>
      <c r="R19" s="352"/>
      <c r="S19" s="352"/>
      <c r="T19" s="352"/>
      <c r="U19" s="352"/>
      <c r="V19" s="352"/>
      <c r="W19" s="352"/>
      <c r="X19" s="353"/>
    </row>
    <row r="20" spans="1:24" s="326" customFormat="1" ht="17.100000000000001" customHeight="1">
      <c r="A20" s="344" t="s">
        <v>2928</v>
      </c>
      <c r="B20" s="335" t="s">
        <v>2929</v>
      </c>
      <c r="C20" s="336"/>
      <c r="D20" s="336"/>
      <c r="E20" s="336"/>
      <c r="F20" s="336"/>
      <c r="G20" s="336"/>
      <c r="H20" s="336"/>
      <c r="I20" s="336"/>
      <c r="J20" s="336"/>
      <c r="K20" s="337" t="s">
        <v>2918</v>
      </c>
      <c r="L20" s="338"/>
      <c r="M20" s="336"/>
      <c r="N20" s="336"/>
      <c r="O20" s="339"/>
      <c r="Q20" s="345" t="s">
        <v>2930</v>
      </c>
      <c r="X20" s="346"/>
    </row>
    <row r="21" spans="1:24" s="326" customFormat="1" ht="17.100000000000001" customHeight="1">
      <c r="A21" s="347" t="s">
        <v>2931</v>
      </c>
      <c r="B21" s="335" t="s">
        <v>2932</v>
      </c>
      <c r="C21" s="336"/>
      <c r="D21" s="336"/>
      <c r="E21" s="336"/>
      <c r="F21" s="336"/>
      <c r="G21" s="336"/>
      <c r="H21" s="336"/>
      <c r="I21" s="336"/>
      <c r="J21" s="336"/>
      <c r="K21" s="337" t="s">
        <v>2918</v>
      </c>
      <c r="L21" s="338"/>
      <c r="M21" s="336"/>
      <c r="N21" s="336"/>
      <c r="O21" s="339"/>
      <c r="Q21" s="345" t="s">
        <v>2933</v>
      </c>
      <c r="X21" s="346"/>
    </row>
    <row r="22" spans="1:24" s="326" customFormat="1" ht="17.100000000000001" customHeight="1">
      <c r="A22" s="347" t="s">
        <v>2925</v>
      </c>
      <c r="B22" s="341" t="s">
        <v>2934</v>
      </c>
      <c r="C22" s="354"/>
      <c r="D22" s="354"/>
      <c r="E22" s="354"/>
      <c r="F22" s="354"/>
      <c r="G22" s="354"/>
      <c r="H22" s="354"/>
      <c r="I22" s="354"/>
      <c r="J22" s="354"/>
      <c r="K22" s="355" t="s">
        <v>2918</v>
      </c>
      <c r="L22" s="354"/>
      <c r="M22" s="354"/>
      <c r="N22" s="354"/>
      <c r="O22" s="356"/>
      <c r="Q22" s="345" t="s">
        <v>2935</v>
      </c>
      <c r="X22" s="346"/>
    </row>
    <row r="23" spans="1:24" ht="17.100000000000001" customHeight="1">
      <c r="A23" s="357" t="s">
        <v>2936</v>
      </c>
      <c r="B23" s="321" t="s">
        <v>2937</v>
      </c>
      <c r="C23" s="358"/>
      <c r="D23" s="358"/>
      <c r="E23" s="358"/>
      <c r="F23" s="358"/>
      <c r="G23" s="358"/>
      <c r="H23" s="358"/>
      <c r="I23" s="358"/>
      <c r="J23" s="358"/>
      <c r="K23" s="359" t="s">
        <v>2918</v>
      </c>
      <c r="L23" s="358"/>
      <c r="M23" s="358"/>
      <c r="N23" s="358"/>
      <c r="O23" s="360"/>
      <c r="Q23" s="345" t="s">
        <v>2938</v>
      </c>
      <c r="X23" s="361"/>
    </row>
    <row r="24" spans="1:24" ht="17.100000000000001" customHeight="1">
      <c r="A24" s="357" t="s">
        <v>2936</v>
      </c>
      <c r="B24" s="321" t="s">
        <v>2939</v>
      </c>
      <c r="C24" s="358"/>
      <c r="D24" s="358"/>
      <c r="E24" s="358"/>
      <c r="F24" s="358"/>
      <c r="G24" s="358"/>
      <c r="H24" s="358"/>
      <c r="I24" s="358"/>
      <c r="J24" s="358"/>
      <c r="K24" s="359" t="s">
        <v>2918</v>
      </c>
      <c r="L24" s="358"/>
      <c r="M24" s="358"/>
      <c r="N24" s="358"/>
      <c r="O24" s="360"/>
      <c r="Q24" s="345" t="s">
        <v>2940</v>
      </c>
      <c r="X24" s="361"/>
    </row>
    <row r="25" spans="1:24" ht="17.100000000000001" customHeight="1">
      <c r="A25" s="357" t="s">
        <v>2936</v>
      </c>
      <c r="B25" s="321" t="s">
        <v>2941</v>
      </c>
      <c r="C25" s="358"/>
      <c r="D25" s="358"/>
      <c r="E25" s="358"/>
      <c r="F25" s="358"/>
      <c r="G25" s="358"/>
      <c r="H25" s="358"/>
      <c r="I25" s="358"/>
      <c r="J25" s="358"/>
      <c r="K25" s="359" t="s">
        <v>2918</v>
      </c>
      <c r="L25" s="358"/>
      <c r="M25" s="358"/>
      <c r="N25" s="358"/>
      <c r="O25" s="360"/>
      <c r="Q25" s="345" t="s">
        <v>2942</v>
      </c>
      <c r="X25" s="361"/>
    </row>
    <row r="26" spans="1:24" ht="17.100000000000001" customHeight="1">
      <c r="A26" s="357" t="s">
        <v>2891</v>
      </c>
      <c r="B26" s="321" t="s">
        <v>2943</v>
      </c>
      <c r="C26" s="358"/>
      <c r="D26" s="358"/>
      <c r="E26" s="358"/>
      <c r="F26" s="358"/>
      <c r="G26" s="358"/>
      <c r="H26" s="358"/>
      <c r="I26" s="358"/>
      <c r="J26" s="358"/>
      <c r="K26" s="359"/>
      <c r="L26" s="358"/>
      <c r="M26" s="358"/>
      <c r="N26" s="358"/>
      <c r="O26" s="360"/>
      <c r="Q26" s="345" t="s">
        <v>2944</v>
      </c>
      <c r="X26" s="361"/>
    </row>
    <row r="27" spans="1:24" ht="17.100000000000001" customHeight="1">
      <c r="A27" s="357" t="s">
        <v>2891</v>
      </c>
      <c r="B27" s="321" t="s">
        <v>2945</v>
      </c>
      <c r="C27" s="358"/>
      <c r="D27" s="358"/>
      <c r="E27" s="358"/>
      <c r="F27" s="358"/>
      <c r="G27" s="358"/>
      <c r="H27" s="358"/>
      <c r="I27" s="358"/>
      <c r="J27" s="358"/>
      <c r="K27" s="359"/>
      <c r="L27" s="358"/>
      <c r="M27" s="358"/>
      <c r="N27" s="358"/>
      <c r="O27" s="360"/>
      <c r="Q27" s="345" t="s">
        <v>2946</v>
      </c>
      <c r="X27" s="361"/>
    </row>
    <row r="28" spans="1:24" ht="17.100000000000001" customHeight="1">
      <c r="A28" s="357" t="s">
        <v>2891</v>
      </c>
      <c r="B28" s="321" t="s">
        <v>2947</v>
      </c>
      <c r="C28" s="358"/>
      <c r="D28" s="358"/>
      <c r="E28" s="358"/>
      <c r="F28" s="358"/>
      <c r="G28" s="358"/>
      <c r="H28" s="358"/>
      <c r="I28" s="358"/>
      <c r="J28" s="358"/>
      <c r="K28" s="359" t="s">
        <v>2918</v>
      </c>
      <c r="L28" s="358"/>
      <c r="M28" s="358"/>
      <c r="N28" s="358"/>
      <c r="O28" s="360"/>
      <c r="Q28" s="345" t="s">
        <v>2948</v>
      </c>
      <c r="X28" s="361"/>
    </row>
    <row r="29" spans="1:24" ht="4.5" customHeight="1">
      <c r="A29" s="362"/>
      <c r="B29" s="326"/>
      <c r="K29" s="326"/>
      <c r="Q29" s="345"/>
      <c r="X29" s="361"/>
    </row>
    <row r="30" spans="1:24" ht="17.100000000000001" customHeight="1">
      <c r="A30" s="357" t="s">
        <v>5</v>
      </c>
      <c r="B30" s="321" t="s">
        <v>2949</v>
      </c>
      <c r="C30" s="358"/>
      <c r="D30" s="358"/>
      <c r="E30" s="358"/>
      <c r="F30" s="358"/>
      <c r="G30" s="358"/>
      <c r="H30" s="358"/>
      <c r="I30" s="358"/>
      <c r="J30" s="358"/>
      <c r="K30" s="359" t="s">
        <v>2950</v>
      </c>
      <c r="L30" s="358"/>
      <c r="M30" s="358"/>
      <c r="N30" s="358"/>
      <c r="O30" s="360"/>
      <c r="Q30" s="349"/>
      <c r="R30" s="363"/>
      <c r="S30" s="363"/>
      <c r="T30" s="363"/>
      <c r="U30" s="363"/>
      <c r="V30" s="363"/>
      <c r="W30" s="363"/>
      <c r="X30" s="364"/>
    </row>
    <row r="31" spans="1:24" ht="17.100000000000001" customHeight="1">
      <c r="A31" s="362"/>
      <c r="B31" s="326"/>
      <c r="K31" s="326"/>
    </row>
    <row r="32" spans="1:24" ht="18" customHeight="1">
      <c r="A32" s="1505" t="s">
        <v>2951</v>
      </c>
      <c r="B32" s="1506"/>
      <c r="C32" s="1506"/>
      <c r="D32" s="1506"/>
      <c r="E32" s="1506"/>
      <c r="F32" s="1506"/>
      <c r="G32" s="1506"/>
      <c r="H32" s="1506"/>
      <c r="I32" s="1506"/>
      <c r="J32" s="1506"/>
      <c r="K32" s="1506"/>
      <c r="L32" s="1506"/>
      <c r="M32" s="1506"/>
      <c r="N32" s="1506"/>
      <c r="O32" s="1506"/>
      <c r="Q32" s="321" t="s">
        <v>2952</v>
      </c>
      <c r="R32" s="352"/>
      <c r="S32" s="322"/>
      <c r="T32" s="322"/>
      <c r="U32" s="322"/>
      <c r="V32" s="322"/>
      <c r="W32" s="322"/>
      <c r="X32" s="325"/>
    </row>
    <row r="33" spans="1:24" s="326" customFormat="1" ht="17.100000000000001" customHeight="1">
      <c r="A33" s="320" t="s">
        <v>2891</v>
      </c>
      <c r="B33" s="321" t="s">
        <v>2953</v>
      </c>
      <c r="C33" s="322"/>
      <c r="D33" s="322"/>
      <c r="E33" s="322"/>
      <c r="F33" s="322"/>
      <c r="G33" s="322"/>
      <c r="H33" s="322"/>
      <c r="I33" s="322"/>
      <c r="J33" s="323"/>
      <c r="K33" s="324" t="s">
        <v>2893</v>
      </c>
      <c r="L33" s="322"/>
      <c r="M33" s="322"/>
      <c r="N33" s="322"/>
      <c r="O33" s="325"/>
      <c r="Q33" s="331" t="s">
        <v>2897</v>
      </c>
      <c r="R33" s="365" t="s">
        <v>2954</v>
      </c>
      <c r="S33" s="366"/>
      <c r="T33" s="366"/>
      <c r="U33" s="366"/>
      <c r="V33" s="366"/>
      <c r="W33" s="366"/>
      <c r="X33" s="367"/>
    </row>
    <row r="34" spans="1:24" s="326" customFormat="1" ht="17.100000000000001" customHeight="1">
      <c r="A34" s="320" t="s">
        <v>2891</v>
      </c>
      <c r="B34" s="321" t="s">
        <v>2895</v>
      </c>
      <c r="C34" s="322"/>
      <c r="D34" s="322"/>
      <c r="E34" s="322"/>
      <c r="F34" s="322"/>
      <c r="G34" s="322"/>
      <c r="H34" s="322"/>
      <c r="I34" s="322"/>
      <c r="J34" s="323"/>
      <c r="K34" s="324" t="s">
        <v>2896</v>
      </c>
      <c r="L34" s="322"/>
      <c r="M34" s="322"/>
      <c r="N34" s="322"/>
      <c r="O34" s="325"/>
      <c r="Q34" s="368"/>
      <c r="R34" s="369" t="s">
        <v>2955</v>
      </c>
      <c r="S34" s="370"/>
      <c r="T34" s="370"/>
      <c r="U34" s="370"/>
      <c r="V34" s="370"/>
      <c r="W34" s="370"/>
      <c r="X34" s="371"/>
    </row>
    <row r="35" spans="1:24" s="326" customFormat="1" ht="17.100000000000001" customHeight="1">
      <c r="A35" s="1503" t="s">
        <v>2904</v>
      </c>
      <c r="B35" s="327" t="s">
        <v>2905</v>
      </c>
      <c r="C35" s="328"/>
      <c r="D35" s="328"/>
      <c r="E35" s="328"/>
      <c r="F35" s="328"/>
      <c r="G35" s="328"/>
      <c r="H35" s="328"/>
      <c r="I35" s="328"/>
      <c r="J35" s="328"/>
      <c r="K35" s="329"/>
      <c r="L35" s="328"/>
      <c r="M35" s="328"/>
      <c r="N35" s="328"/>
      <c r="O35" s="330"/>
    </row>
    <row r="36" spans="1:24" s="326" customFormat="1" ht="17.100000000000001" customHeight="1">
      <c r="A36" s="1503"/>
      <c r="B36" s="335" t="s">
        <v>2907</v>
      </c>
      <c r="C36" s="336"/>
      <c r="D36" s="336"/>
      <c r="E36" s="336"/>
      <c r="F36" s="336"/>
      <c r="G36" s="336"/>
      <c r="H36" s="336"/>
      <c r="I36" s="336"/>
      <c r="J36" s="336"/>
      <c r="K36" s="337" t="s">
        <v>2908</v>
      </c>
      <c r="L36" s="338"/>
      <c r="M36" s="336"/>
      <c r="N36" s="336"/>
      <c r="O36" s="339"/>
      <c r="Q36" s="321" t="s">
        <v>2956</v>
      </c>
      <c r="R36" s="352"/>
      <c r="S36" s="322"/>
      <c r="T36" s="322"/>
      <c r="U36" s="322"/>
      <c r="V36" s="322"/>
      <c r="W36" s="322"/>
      <c r="X36" s="325"/>
    </row>
    <row r="37" spans="1:24" s="326" customFormat="1" ht="17.100000000000001" customHeight="1">
      <c r="A37" s="344" t="s">
        <v>2910</v>
      </c>
      <c r="B37" s="335" t="s">
        <v>2911</v>
      </c>
      <c r="C37" s="336"/>
      <c r="D37" s="336"/>
      <c r="E37" s="336"/>
      <c r="F37" s="336"/>
      <c r="G37" s="336"/>
      <c r="H37" s="336"/>
      <c r="I37" s="336"/>
      <c r="J37" s="336"/>
      <c r="K37" s="337"/>
      <c r="L37" s="336"/>
      <c r="M37" s="336"/>
      <c r="N37" s="336"/>
      <c r="O37" s="339"/>
      <c r="Q37" s="320" t="s">
        <v>2897</v>
      </c>
      <c r="R37" s="321" t="s">
        <v>2957</v>
      </c>
      <c r="S37" s="322"/>
      <c r="T37" s="322"/>
      <c r="U37" s="322"/>
      <c r="V37" s="322"/>
      <c r="W37" s="322"/>
      <c r="X37" s="325"/>
    </row>
    <row r="38" spans="1:24" s="326" customFormat="1" ht="17.100000000000001" customHeight="1">
      <c r="A38" s="1504" t="s">
        <v>2913</v>
      </c>
      <c r="B38" s="335" t="s">
        <v>2914</v>
      </c>
      <c r="C38" s="336"/>
      <c r="D38" s="336"/>
      <c r="E38" s="336"/>
      <c r="F38" s="336"/>
      <c r="G38" s="336"/>
      <c r="H38" s="336"/>
      <c r="I38" s="336"/>
      <c r="J38" s="336"/>
      <c r="K38" s="337" t="s">
        <v>2915</v>
      </c>
      <c r="L38" s="338"/>
      <c r="M38" s="336"/>
      <c r="N38" s="336"/>
      <c r="O38" s="339"/>
      <c r="Q38" s="315"/>
      <c r="R38" s="315"/>
      <c r="S38" s="315"/>
      <c r="T38" s="315"/>
      <c r="U38" s="315"/>
      <c r="V38" s="315"/>
      <c r="W38" s="315"/>
      <c r="X38" s="315"/>
    </row>
    <row r="39" spans="1:24" s="326" customFormat="1" ht="17.100000000000001" customHeight="1">
      <c r="A39" s="1504"/>
      <c r="B39" s="335" t="s">
        <v>2917</v>
      </c>
      <c r="C39" s="336"/>
      <c r="D39" s="336"/>
      <c r="E39" s="336"/>
      <c r="F39" s="336"/>
      <c r="G39" s="336"/>
      <c r="H39" s="336"/>
      <c r="I39" s="336"/>
      <c r="J39" s="336"/>
      <c r="K39" s="337" t="s">
        <v>2918</v>
      </c>
      <c r="L39" s="338"/>
      <c r="M39" s="336"/>
      <c r="N39" s="336"/>
      <c r="O39" s="339"/>
      <c r="Q39" s="321" t="s">
        <v>2958</v>
      </c>
      <c r="R39" s="358"/>
      <c r="S39" s="322"/>
      <c r="T39" s="322"/>
      <c r="U39" s="322"/>
      <c r="V39" s="322"/>
      <c r="W39" s="322"/>
      <c r="X39" s="325"/>
    </row>
    <row r="40" spans="1:24" s="326" customFormat="1" ht="17.100000000000001" customHeight="1">
      <c r="A40" s="1504"/>
      <c r="B40" s="335" t="s">
        <v>2920</v>
      </c>
      <c r="C40" s="336"/>
      <c r="D40" s="336"/>
      <c r="E40" s="336"/>
      <c r="F40" s="336"/>
      <c r="G40" s="336"/>
      <c r="H40" s="336"/>
      <c r="I40" s="336"/>
      <c r="J40" s="336"/>
      <c r="K40" s="337" t="s">
        <v>2918</v>
      </c>
      <c r="L40" s="338"/>
      <c r="M40" s="336"/>
      <c r="N40" s="336"/>
      <c r="O40" s="339"/>
      <c r="Q40" s="320" t="s">
        <v>2891</v>
      </c>
      <c r="R40" s="321" t="s">
        <v>2959</v>
      </c>
      <c r="S40" s="322"/>
      <c r="T40" s="322"/>
      <c r="U40" s="322"/>
      <c r="V40" s="322"/>
      <c r="W40" s="322"/>
      <c r="X40" s="325"/>
    </row>
    <row r="41" spans="1:24" s="326" customFormat="1" ht="17.100000000000001" customHeight="1">
      <c r="A41" s="347" t="s">
        <v>2922</v>
      </c>
      <c r="B41" s="335" t="s">
        <v>2923</v>
      </c>
      <c r="C41" s="336"/>
      <c r="D41" s="336"/>
      <c r="E41" s="336"/>
      <c r="F41" s="336"/>
      <c r="G41" s="336"/>
      <c r="H41" s="336"/>
      <c r="I41" s="336"/>
      <c r="J41" s="336"/>
      <c r="K41" s="337" t="s">
        <v>2918</v>
      </c>
      <c r="L41" s="338"/>
      <c r="M41" s="336"/>
      <c r="N41" s="336"/>
      <c r="O41" s="339"/>
      <c r="Q41" s="315"/>
      <c r="R41" s="315"/>
      <c r="S41" s="315"/>
      <c r="T41" s="315"/>
      <c r="U41" s="315"/>
      <c r="V41" s="315"/>
      <c r="W41" s="315"/>
      <c r="X41" s="315"/>
    </row>
    <row r="42" spans="1:24" s="326" customFormat="1" ht="17.100000000000001" customHeight="1">
      <c r="A42" s="347" t="s">
        <v>2925</v>
      </c>
      <c r="B42" s="335" t="s">
        <v>2926</v>
      </c>
      <c r="C42" s="336"/>
      <c r="D42" s="336"/>
      <c r="E42" s="336"/>
      <c r="F42" s="336"/>
      <c r="G42" s="336"/>
      <c r="H42" s="336"/>
      <c r="I42" s="336"/>
      <c r="J42" s="336"/>
      <c r="K42" s="337"/>
      <c r="L42" s="336"/>
      <c r="M42" s="336"/>
      <c r="N42" s="336"/>
      <c r="O42" s="339"/>
      <c r="Q42" s="321" t="s">
        <v>2958</v>
      </c>
      <c r="R42" s="358"/>
      <c r="S42" s="322"/>
      <c r="T42" s="322"/>
      <c r="U42" s="322"/>
      <c r="V42" s="322"/>
      <c r="W42" s="322"/>
      <c r="X42" s="325"/>
    </row>
    <row r="43" spans="1:24" s="326" customFormat="1" ht="17.100000000000001" customHeight="1">
      <c r="A43" s="344" t="s">
        <v>2928</v>
      </c>
      <c r="B43" s="335" t="s">
        <v>2960</v>
      </c>
      <c r="C43" s="336"/>
      <c r="D43" s="336"/>
      <c r="E43" s="336"/>
      <c r="F43" s="336"/>
      <c r="G43" s="336"/>
      <c r="H43" s="336"/>
      <c r="I43" s="336"/>
      <c r="J43" s="336"/>
      <c r="K43" s="337" t="s">
        <v>2918</v>
      </c>
      <c r="L43" s="338"/>
      <c r="M43" s="336"/>
      <c r="N43" s="336"/>
      <c r="O43" s="339"/>
      <c r="Q43" s="320" t="s">
        <v>2891</v>
      </c>
      <c r="R43" s="321" t="s">
        <v>2961</v>
      </c>
      <c r="S43" s="322"/>
      <c r="T43" s="322"/>
      <c r="U43" s="322"/>
      <c r="V43" s="322"/>
      <c r="W43" s="322"/>
      <c r="X43" s="325"/>
    </row>
    <row r="44" spans="1:24" s="326" customFormat="1" ht="17.100000000000001" customHeight="1">
      <c r="A44" s="347" t="s">
        <v>2931</v>
      </c>
      <c r="B44" s="335" t="s">
        <v>2932</v>
      </c>
      <c r="C44" s="336"/>
      <c r="D44" s="336"/>
      <c r="E44" s="336"/>
      <c r="F44" s="336"/>
      <c r="G44" s="336"/>
      <c r="H44" s="336"/>
      <c r="I44" s="336"/>
      <c r="J44" s="336"/>
      <c r="K44" s="337" t="s">
        <v>2918</v>
      </c>
      <c r="L44" s="338"/>
      <c r="M44" s="336"/>
      <c r="N44" s="336"/>
      <c r="O44" s="339"/>
      <c r="Q44" s="372"/>
      <c r="R44" s="369" t="s">
        <v>2830</v>
      </c>
      <c r="S44" s="363"/>
      <c r="T44" s="363"/>
      <c r="U44" s="363"/>
      <c r="V44" s="363"/>
      <c r="W44" s="363"/>
      <c r="X44" s="364"/>
    </row>
    <row r="45" spans="1:24" s="326" customFormat="1" ht="17.100000000000001" customHeight="1">
      <c r="A45" s="347" t="s">
        <v>2925</v>
      </c>
      <c r="B45" s="341" t="s">
        <v>2934</v>
      </c>
      <c r="C45" s="354"/>
      <c r="D45" s="354"/>
      <c r="E45" s="354"/>
      <c r="F45" s="354"/>
      <c r="G45" s="354"/>
      <c r="H45" s="354"/>
      <c r="I45" s="354"/>
      <c r="J45" s="354"/>
      <c r="K45" s="355" t="s">
        <v>2918</v>
      </c>
      <c r="L45" s="354"/>
      <c r="M45" s="354"/>
      <c r="N45" s="354"/>
      <c r="O45" s="356"/>
    </row>
    <row r="46" spans="1:24" ht="17.100000000000001" customHeight="1">
      <c r="A46" s="357" t="s">
        <v>2936</v>
      </c>
      <c r="B46" s="321" t="s">
        <v>2937</v>
      </c>
      <c r="C46" s="358"/>
      <c r="D46" s="358"/>
      <c r="E46" s="358"/>
      <c r="F46" s="358"/>
      <c r="G46" s="358"/>
      <c r="H46" s="358"/>
      <c r="I46" s="358"/>
      <c r="J46" s="358"/>
      <c r="K46" s="359" t="s">
        <v>2918</v>
      </c>
      <c r="L46" s="358"/>
      <c r="M46" s="358"/>
      <c r="N46" s="358"/>
      <c r="O46" s="360"/>
      <c r="Q46" s="1497" t="s">
        <v>2962</v>
      </c>
      <c r="R46" s="1498"/>
      <c r="S46" s="1498"/>
      <c r="T46" s="1498"/>
      <c r="U46" s="1498"/>
      <c r="V46" s="1498"/>
      <c r="W46" s="1498"/>
      <c r="X46" s="1499"/>
    </row>
    <row r="47" spans="1:24" ht="17.100000000000001" customHeight="1">
      <c r="A47" s="357" t="s">
        <v>2936</v>
      </c>
      <c r="B47" s="321" t="s">
        <v>2939</v>
      </c>
      <c r="C47" s="358"/>
      <c r="D47" s="358"/>
      <c r="E47" s="358"/>
      <c r="F47" s="358"/>
      <c r="G47" s="358"/>
      <c r="H47" s="358"/>
      <c r="I47" s="358"/>
      <c r="J47" s="358"/>
      <c r="K47" s="359" t="s">
        <v>2918</v>
      </c>
      <c r="L47" s="358"/>
      <c r="M47" s="358"/>
      <c r="N47" s="358"/>
      <c r="O47" s="360"/>
      <c r="Q47" s="321" t="s">
        <v>2963</v>
      </c>
      <c r="R47" s="326"/>
      <c r="S47" s="322"/>
      <c r="T47" s="322"/>
      <c r="U47" s="322"/>
      <c r="V47" s="322"/>
      <c r="W47" s="322"/>
      <c r="X47" s="325"/>
    </row>
    <row r="48" spans="1:24" ht="17.100000000000001" customHeight="1">
      <c r="A48" s="357" t="s">
        <v>2936</v>
      </c>
      <c r="B48" s="321" t="s">
        <v>2941</v>
      </c>
      <c r="C48" s="358"/>
      <c r="D48" s="358"/>
      <c r="E48" s="358"/>
      <c r="F48" s="358"/>
      <c r="G48" s="358"/>
      <c r="H48" s="358"/>
      <c r="I48" s="358"/>
      <c r="J48" s="358"/>
      <c r="K48" s="359" t="s">
        <v>2918</v>
      </c>
      <c r="L48" s="358"/>
      <c r="M48" s="358"/>
      <c r="N48" s="358"/>
      <c r="O48" s="360"/>
      <c r="Q48" s="320" t="s">
        <v>2891</v>
      </c>
      <c r="R48" s="321" t="s">
        <v>2964</v>
      </c>
      <c r="S48" s="322"/>
      <c r="T48" s="322"/>
      <c r="U48" s="322"/>
      <c r="V48" s="322"/>
      <c r="W48" s="322"/>
      <c r="X48" s="325"/>
    </row>
    <row r="49" spans="1:24" ht="17.100000000000001" customHeight="1">
      <c r="A49" s="357" t="s">
        <v>2891</v>
      </c>
      <c r="B49" s="321" t="s">
        <v>2943</v>
      </c>
      <c r="C49" s="358"/>
      <c r="D49" s="358"/>
      <c r="E49" s="358"/>
      <c r="F49" s="358"/>
      <c r="G49" s="358"/>
      <c r="H49" s="358"/>
      <c r="I49" s="358"/>
      <c r="J49" s="358"/>
      <c r="K49" s="359" t="s">
        <v>2965</v>
      </c>
      <c r="L49" s="358"/>
      <c r="M49" s="358"/>
      <c r="N49" s="358"/>
      <c r="O49" s="360"/>
      <c r="Q49" s="320" t="s">
        <v>2891</v>
      </c>
      <c r="R49" s="321" t="s">
        <v>2966</v>
      </c>
      <c r="S49" s="358"/>
      <c r="T49" s="358"/>
      <c r="U49" s="358"/>
      <c r="V49" s="358"/>
      <c r="W49" s="358"/>
      <c r="X49" s="360"/>
    </row>
    <row r="50" spans="1:24" ht="17.100000000000001" customHeight="1">
      <c r="A50" s="357" t="s">
        <v>2891</v>
      </c>
      <c r="B50" s="321" t="s">
        <v>2947</v>
      </c>
      <c r="C50" s="358"/>
      <c r="D50" s="358"/>
      <c r="E50" s="358"/>
      <c r="F50" s="358"/>
      <c r="G50" s="358"/>
      <c r="H50" s="358"/>
      <c r="I50" s="358"/>
      <c r="J50" s="358"/>
      <c r="K50" s="359" t="s">
        <v>2918</v>
      </c>
      <c r="L50" s="358"/>
      <c r="M50" s="358"/>
      <c r="N50" s="358"/>
      <c r="O50" s="360"/>
      <c r="Q50" s="372"/>
      <c r="R50" s="369" t="s">
        <v>2967</v>
      </c>
      <c r="S50" s="363"/>
      <c r="T50" s="363"/>
      <c r="U50" s="363"/>
      <c r="V50" s="363"/>
      <c r="W50" s="363"/>
      <c r="X50" s="364"/>
    </row>
    <row r="51" spans="1:24" ht="4.5" customHeight="1">
      <c r="A51" s="362"/>
      <c r="B51" s="326"/>
      <c r="K51" s="326"/>
    </row>
    <row r="52" spans="1:24" ht="17.100000000000001" customHeight="1">
      <c r="A52" s="357" t="s">
        <v>5</v>
      </c>
      <c r="B52" s="321" t="s">
        <v>2949</v>
      </c>
      <c r="C52" s="358"/>
      <c r="D52" s="358"/>
      <c r="E52" s="358"/>
      <c r="F52" s="358"/>
      <c r="G52" s="358"/>
      <c r="H52" s="358"/>
      <c r="I52" s="358"/>
      <c r="J52" s="358"/>
      <c r="K52" s="359" t="s">
        <v>2950</v>
      </c>
      <c r="L52" s="358"/>
      <c r="M52" s="358"/>
      <c r="N52" s="358"/>
      <c r="O52" s="360"/>
    </row>
    <row r="53" spans="1:24" ht="17.100000000000001" customHeight="1">
      <c r="A53" s="326" t="s">
        <v>2968</v>
      </c>
      <c r="B53" s="326"/>
      <c r="K53" s="326"/>
      <c r="Q53" s="321" t="s">
        <v>2969</v>
      </c>
      <c r="R53" s="352"/>
      <c r="S53" s="322"/>
      <c r="T53" s="322"/>
      <c r="U53" s="322"/>
      <c r="V53" s="322"/>
      <c r="W53" s="322"/>
      <c r="X53" s="325"/>
    </row>
    <row r="54" spans="1:24" ht="17.100000000000001" customHeight="1">
      <c r="A54" s="326" t="s">
        <v>2970</v>
      </c>
      <c r="B54" s="326"/>
      <c r="K54" s="326"/>
      <c r="Q54" s="320" t="s">
        <v>2891</v>
      </c>
      <c r="R54" s="321" t="s">
        <v>2971</v>
      </c>
      <c r="S54" s="322"/>
      <c r="T54" s="322"/>
      <c r="U54" s="322"/>
      <c r="V54" s="322"/>
      <c r="W54" s="322"/>
      <c r="X54" s="325"/>
    </row>
    <row r="55" spans="1:24" ht="17.100000000000001" customHeight="1">
      <c r="A55" s="326"/>
      <c r="B55" s="326"/>
      <c r="K55" s="326" t="s">
        <v>2972</v>
      </c>
      <c r="Q55" s="320"/>
      <c r="R55" s="369" t="s">
        <v>2973</v>
      </c>
      <c r="S55" s="358"/>
      <c r="T55" s="358"/>
      <c r="U55" s="358"/>
      <c r="V55" s="358"/>
      <c r="W55" s="358"/>
      <c r="X55" s="360"/>
    </row>
    <row r="56" spans="1:24" s="326" customFormat="1" ht="12" customHeight="1">
      <c r="A56" s="362"/>
      <c r="E56" s="373"/>
      <c r="F56" s="373"/>
      <c r="G56" s="373"/>
      <c r="H56" s="373"/>
      <c r="Q56" s="315"/>
      <c r="R56" s="315"/>
      <c r="S56" s="315"/>
      <c r="T56" s="315"/>
      <c r="U56" s="315"/>
      <c r="V56" s="315"/>
      <c r="W56" s="315"/>
      <c r="X56" s="315"/>
    </row>
    <row r="57" spans="1:24" ht="18" customHeight="1">
      <c r="A57" s="1505" t="s">
        <v>2974</v>
      </c>
      <c r="B57" s="1506"/>
      <c r="C57" s="1506"/>
      <c r="D57" s="1506"/>
      <c r="E57" s="1506"/>
      <c r="F57" s="1506"/>
      <c r="G57" s="1506"/>
      <c r="H57" s="1506"/>
      <c r="I57" s="1506"/>
      <c r="J57" s="1506"/>
      <c r="K57" s="1506"/>
      <c r="L57" s="1506"/>
      <c r="M57" s="1506"/>
      <c r="N57" s="1506"/>
      <c r="O57" s="1507"/>
      <c r="Q57" s="1508" t="s">
        <v>2975</v>
      </c>
      <c r="R57" s="1509"/>
      <c r="S57" s="1509"/>
      <c r="T57" s="1509"/>
      <c r="U57" s="1509"/>
      <c r="V57" s="1509"/>
      <c r="W57" s="1509"/>
      <c r="X57" s="1510"/>
    </row>
    <row r="58" spans="1:24" ht="16.5">
      <c r="A58" s="320" t="s">
        <v>2891</v>
      </c>
      <c r="B58" s="357" t="s">
        <v>2976</v>
      </c>
      <c r="C58" s="322" t="s">
        <v>2977</v>
      </c>
      <c r="D58" s="322"/>
      <c r="E58" s="322"/>
      <c r="F58" s="322"/>
      <c r="G58" s="322"/>
      <c r="H58" s="322"/>
      <c r="I58" s="322"/>
      <c r="J58" s="322"/>
      <c r="K58" s="374" t="s">
        <v>2893</v>
      </c>
      <c r="L58" s="322"/>
      <c r="M58" s="322"/>
      <c r="N58" s="375"/>
      <c r="O58" s="325"/>
      <c r="Q58" s="376" t="s">
        <v>2978</v>
      </c>
      <c r="X58" s="361"/>
    </row>
    <row r="59" spans="1:24" s="326" customFormat="1" ht="15" customHeight="1">
      <c r="A59" s="320" t="s">
        <v>2891</v>
      </c>
      <c r="B59" s="357" t="s">
        <v>2979</v>
      </c>
      <c r="C59" s="322" t="s">
        <v>2980</v>
      </c>
      <c r="D59" s="322"/>
      <c r="E59" s="322"/>
      <c r="F59" s="322"/>
      <c r="G59" s="322"/>
      <c r="H59" s="322"/>
      <c r="I59" s="322"/>
      <c r="J59" s="322"/>
      <c r="K59" s="374" t="s">
        <v>2981</v>
      </c>
      <c r="L59" s="322"/>
      <c r="M59" s="322"/>
      <c r="N59" s="375"/>
      <c r="O59" s="325"/>
      <c r="Q59" s="345"/>
      <c r="R59" s="377" t="s">
        <v>2982</v>
      </c>
      <c r="S59" s="378"/>
      <c r="T59" s="315"/>
      <c r="U59" s="315"/>
      <c r="V59" s="315"/>
      <c r="W59" s="315"/>
      <c r="X59" s="361"/>
    </row>
    <row r="60" spans="1:24" s="326" customFormat="1" ht="15" customHeight="1">
      <c r="A60" s="320" t="s">
        <v>2891</v>
      </c>
      <c r="B60" s="357" t="s">
        <v>2979</v>
      </c>
      <c r="C60" s="322" t="s">
        <v>2983</v>
      </c>
      <c r="D60" s="322"/>
      <c r="E60" s="322"/>
      <c r="F60" s="322"/>
      <c r="G60" s="322"/>
      <c r="H60" s="322"/>
      <c r="I60" s="322"/>
      <c r="J60" s="322"/>
      <c r="K60" s="379" t="s">
        <v>2984</v>
      </c>
      <c r="L60" s="322"/>
      <c r="M60" s="322"/>
      <c r="N60" s="322"/>
      <c r="O60" s="325"/>
      <c r="Q60" s="380" t="s">
        <v>2985</v>
      </c>
      <c r="R60" s="326" t="s">
        <v>2986</v>
      </c>
      <c r="S60" s="377"/>
      <c r="U60" s="377" t="s">
        <v>2987</v>
      </c>
      <c r="X60" s="346"/>
    </row>
    <row r="61" spans="1:24" s="326" customFormat="1" ht="15" customHeight="1">
      <c r="A61" s="320" t="s">
        <v>2891</v>
      </c>
      <c r="B61" s="357" t="s">
        <v>2979</v>
      </c>
      <c r="C61" s="322" t="s">
        <v>2988</v>
      </c>
      <c r="D61" s="322"/>
      <c r="E61" s="322"/>
      <c r="F61" s="322"/>
      <c r="G61" s="322"/>
      <c r="H61" s="322"/>
      <c r="I61" s="322"/>
      <c r="J61" s="322"/>
      <c r="K61" s="322"/>
      <c r="L61" s="322"/>
      <c r="M61" s="322"/>
      <c r="N61" s="322"/>
      <c r="O61" s="325"/>
      <c r="Q61" s="381" t="s">
        <v>2985</v>
      </c>
      <c r="R61" s="326" t="s">
        <v>2989</v>
      </c>
      <c r="S61" s="382"/>
      <c r="T61" s="382"/>
      <c r="U61" s="383" t="s">
        <v>2990</v>
      </c>
      <c r="V61" s="382"/>
      <c r="W61" s="382"/>
      <c r="X61" s="384"/>
    </row>
    <row r="62" spans="1:24" s="326" customFormat="1" ht="15" customHeight="1">
      <c r="A62" s="385" t="s">
        <v>2891</v>
      </c>
      <c r="B62" s="386" t="s">
        <v>2979</v>
      </c>
      <c r="C62" s="326" t="s">
        <v>2991</v>
      </c>
      <c r="O62" s="346"/>
      <c r="Q62" s="387" t="s">
        <v>2992</v>
      </c>
      <c r="R62" s="352"/>
      <c r="S62" s="352"/>
      <c r="T62" s="388"/>
      <c r="U62" s="388"/>
      <c r="V62" s="389"/>
      <c r="W62" s="352"/>
      <c r="X62" s="390"/>
    </row>
    <row r="63" spans="1:24" s="326" customFormat="1" ht="15" customHeight="1">
      <c r="A63" s="385"/>
      <c r="B63" s="386"/>
      <c r="C63" s="1492" t="s">
        <v>2993</v>
      </c>
      <c r="D63" s="1492"/>
      <c r="E63" s="1492"/>
      <c r="F63" s="1492"/>
      <c r="G63" s="1492"/>
      <c r="H63" s="1492"/>
      <c r="I63" s="1492"/>
      <c r="J63" s="1492"/>
      <c r="K63" s="1492"/>
      <c r="L63" s="1492"/>
      <c r="M63" s="1492"/>
      <c r="N63" s="1492"/>
      <c r="O63" s="1493"/>
      <c r="Q63" s="345" t="s">
        <v>2994</v>
      </c>
      <c r="R63" s="315"/>
      <c r="S63" s="315"/>
      <c r="T63" s="315"/>
      <c r="U63" s="315"/>
      <c r="V63" s="391"/>
      <c r="W63" s="392"/>
      <c r="X63" s="361"/>
    </row>
    <row r="64" spans="1:24" s="326" customFormat="1" ht="15" customHeight="1">
      <c r="A64" s="385"/>
      <c r="B64" s="386"/>
      <c r="C64" s="393" t="s">
        <v>2995</v>
      </c>
      <c r="D64" s="394"/>
      <c r="E64" s="394"/>
      <c r="F64" s="394"/>
      <c r="G64" s="394"/>
      <c r="H64" s="394"/>
      <c r="I64" s="394"/>
      <c r="J64" s="394"/>
      <c r="K64" s="395"/>
      <c r="L64" s="394"/>
      <c r="M64" s="394"/>
      <c r="N64" s="394"/>
      <c r="O64" s="396"/>
      <c r="Q64" s="397" t="s">
        <v>2996</v>
      </c>
      <c r="R64" s="315"/>
      <c r="S64" s="315"/>
      <c r="T64" s="315"/>
      <c r="U64" s="315"/>
      <c r="V64" s="392"/>
      <c r="W64" s="392"/>
      <c r="X64" s="361"/>
    </row>
    <row r="65" spans="1:24" s="326" customFormat="1" ht="15" customHeight="1">
      <c r="A65" s="385"/>
      <c r="B65" s="386"/>
      <c r="C65" s="1511" t="s">
        <v>2997</v>
      </c>
      <c r="D65" s="1512"/>
      <c r="E65" s="1512"/>
      <c r="F65" s="1512"/>
      <c r="G65" s="1512"/>
      <c r="H65" s="1512"/>
      <c r="I65" s="1512"/>
      <c r="J65" s="1512"/>
      <c r="K65" s="1512"/>
      <c r="L65" s="1512"/>
      <c r="M65" s="1512"/>
      <c r="N65" s="1512"/>
      <c r="O65" s="1513"/>
      <c r="Q65" s="397" t="s">
        <v>2998</v>
      </c>
      <c r="R65" s="315"/>
      <c r="S65" s="315"/>
      <c r="T65" s="315"/>
      <c r="U65" s="315"/>
      <c r="V65" s="315"/>
      <c r="W65" s="315"/>
      <c r="X65" s="361"/>
    </row>
    <row r="66" spans="1:24" s="326" customFormat="1" ht="15" customHeight="1">
      <c r="A66" s="385"/>
      <c r="B66" s="386"/>
      <c r="C66" s="398" t="s">
        <v>2999</v>
      </c>
      <c r="D66" s="398"/>
      <c r="E66" s="398"/>
      <c r="F66" s="398"/>
      <c r="G66" s="398"/>
      <c r="H66" s="398"/>
      <c r="I66" s="398"/>
      <c r="J66" s="398"/>
      <c r="K66" s="399"/>
      <c r="L66" s="398"/>
      <c r="M66" s="398"/>
      <c r="N66" s="398"/>
      <c r="O66" s="400"/>
      <c r="Q66" s="401" t="s">
        <v>3000</v>
      </c>
      <c r="R66" s="315" t="s">
        <v>3001</v>
      </c>
      <c r="T66" s="315"/>
      <c r="U66" s="315" t="s">
        <v>3002</v>
      </c>
      <c r="V66" s="315" t="s">
        <v>3003</v>
      </c>
      <c r="W66" s="315"/>
      <c r="X66" s="361"/>
    </row>
    <row r="67" spans="1:24" s="326" customFormat="1" ht="15" customHeight="1">
      <c r="A67" s="385"/>
      <c r="B67" s="386"/>
      <c r="C67" s="1514" t="s">
        <v>3004</v>
      </c>
      <c r="D67" s="1514"/>
      <c r="E67" s="1514"/>
      <c r="F67" s="1514"/>
      <c r="G67" s="1514"/>
      <c r="H67" s="1514"/>
      <c r="I67" s="1514"/>
      <c r="J67" s="1514"/>
      <c r="K67" s="1514"/>
      <c r="L67" s="1514"/>
      <c r="M67" s="1514"/>
      <c r="N67" s="1514"/>
      <c r="O67" s="1515"/>
      <c r="Q67" s="402" t="s">
        <v>3005</v>
      </c>
      <c r="R67" s="350"/>
      <c r="S67" s="350"/>
      <c r="T67" s="363"/>
      <c r="U67" s="403"/>
      <c r="V67" s="363"/>
      <c r="W67" s="363"/>
      <c r="X67" s="364"/>
    </row>
    <row r="68" spans="1:24" s="326" customFormat="1" ht="15" customHeight="1">
      <c r="A68" s="385"/>
      <c r="B68" s="386"/>
      <c r="C68" s="1514"/>
      <c r="D68" s="1514"/>
      <c r="E68" s="1514"/>
      <c r="F68" s="1514"/>
      <c r="G68" s="1514"/>
      <c r="H68" s="1514"/>
      <c r="I68" s="1514"/>
      <c r="J68" s="1514"/>
      <c r="K68" s="1514"/>
      <c r="L68" s="1514"/>
      <c r="M68" s="1514"/>
      <c r="N68" s="1514"/>
      <c r="O68" s="1515"/>
      <c r="Q68" s="387" t="s">
        <v>3006</v>
      </c>
      <c r="R68" s="352"/>
      <c r="S68" s="352"/>
      <c r="T68" s="388"/>
      <c r="U68" s="388"/>
      <c r="V68" s="388"/>
      <c r="W68" s="388"/>
      <c r="X68" s="390"/>
    </row>
    <row r="69" spans="1:24" s="326" customFormat="1" ht="15" customHeight="1">
      <c r="A69" s="385"/>
      <c r="B69" s="386"/>
      <c r="C69" s="1516" t="s">
        <v>3007</v>
      </c>
      <c r="D69" s="1517"/>
      <c r="E69" s="1517"/>
      <c r="F69" s="1517"/>
      <c r="G69" s="1517"/>
      <c r="H69" s="1517"/>
      <c r="I69" s="1517"/>
      <c r="J69" s="1517"/>
      <c r="K69" s="1517"/>
      <c r="L69" s="1517"/>
      <c r="M69" s="1517"/>
      <c r="N69" s="1517"/>
      <c r="O69" s="1518"/>
      <c r="Q69" s="345" t="s">
        <v>3008</v>
      </c>
      <c r="R69" s="315"/>
      <c r="S69" s="315"/>
      <c r="T69" s="315"/>
      <c r="U69" s="315"/>
      <c r="V69" s="315"/>
      <c r="W69" s="315"/>
      <c r="X69" s="361"/>
    </row>
    <row r="70" spans="1:24" s="326" customFormat="1" ht="15" customHeight="1">
      <c r="A70" s="385"/>
      <c r="B70" s="386"/>
      <c r="C70" s="1519" t="s">
        <v>3009</v>
      </c>
      <c r="D70" s="1520"/>
      <c r="E70" s="1520"/>
      <c r="F70" s="1520"/>
      <c r="G70" s="1520"/>
      <c r="H70" s="1520"/>
      <c r="I70" s="1520"/>
      <c r="J70" s="1520"/>
      <c r="K70" s="1520"/>
      <c r="L70" s="1520"/>
      <c r="M70" s="1520"/>
      <c r="N70" s="1520"/>
      <c r="O70" s="1521"/>
      <c r="Q70" s="397" t="s">
        <v>3010</v>
      </c>
      <c r="R70" s="315"/>
      <c r="S70" s="315"/>
      <c r="T70" s="315"/>
      <c r="U70" s="315"/>
      <c r="V70" s="315"/>
      <c r="W70" s="315"/>
      <c r="X70" s="361"/>
    </row>
    <row r="71" spans="1:24" s="326" customFormat="1" ht="15" customHeight="1">
      <c r="A71" s="332"/>
      <c r="B71" s="404" t="s">
        <v>3011</v>
      </c>
      <c r="C71" s="366"/>
      <c r="D71" s="366"/>
      <c r="E71" s="366"/>
      <c r="F71" s="366"/>
      <c r="G71" s="366"/>
      <c r="H71" s="366"/>
      <c r="I71" s="366"/>
      <c r="J71" s="366"/>
      <c r="K71" s="405"/>
      <c r="L71" s="366"/>
      <c r="M71" s="366"/>
      <c r="N71" s="366"/>
      <c r="O71" s="367"/>
      <c r="Q71" s="401" t="s">
        <v>3000</v>
      </c>
      <c r="R71" s="315" t="s">
        <v>3012</v>
      </c>
      <c r="T71" s="315"/>
      <c r="U71" s="315" t="s">
        <v>3002</v>
      </c>
      <c r="V71" s="315" t="s">
        <v>3013</v>
      </c>
      <c r="W71" s="315"/>
      <c r="X71" s="361"/>
    </row>
    <row r="72" spans="1:24" s="326" customFormat="1" ht="15" customHeight="1">
      <c r="A72" s="406" t="s">
        <v>2891</v>
      </c>
      <c r="B72" s="407" t="s">
        <v>2976</v>
      </c>
      <c r="C72" s="408" t="s">
        <v>3014</v>
      </c>
      <c r="D72" s="409"/>
      <c r="E72" s="409"/>
      <c r="F72" s="409"/>
      <c r="G72" s="409"/>
      <c r="H72" s="409"/>
      <c r="I72" s="409"/>
      <c r="J72" s="409"/>
      <c r="K72" s="408" t="s">
        <v>3015</v>
      </c>
      <c r="L72" s="409"/>
      <c r="M72" s="409"/>
      <c r="N72" s="409"/>
      <c r="O72" s="410"/>
      <c r="Q72" s="402" t="s">
        <v>3005</v>
      </c>
      <c r="R72" s="363"/>
      <c r="S72" s="350"/>
      <c r="T72" s="363"/>
      <c r="U72" s="363"/>
      <c r="V72" s="363"/>
      <c r="W72" s="363"/>
      <c r="X72" s="364"/>
    </row>
    <row r="73" spans="1:24" s="326" customFormat="1" ht="15" customHeight="1">
      <c r="A73" s="332"/>
      <c r="B73" s="411" t="s">
        <v>3016</v>
      </c>
      <c r="C73" s="333"/>
      <c r="D73" s="333"/>
      <c r="E73" s="333"/>
      <c r="F73" s="333"/>
      <c r="G73" s="333"/>
      <c r="H73" s="333"/>
      <c r="I73" s="333"/>
      <c r="J73" s="333"/>
      <c r="K73" s="412"/>
      <c r="L73" s="333"/>
      <c r="M73" s="333"/>
      <c r="N73" s="333"/>
      <c r="O73" s="334"/>
      <c r="Q73" s="387" t="s">
        <v>3017</v>
      </c>
      <c r="S73" s="413" t="s">
        <v>3018</v>
      </c>
      <c r="T73" s="388"/>
      <c r="U73" s="388"/>
      <c r="V73" s="388"/>
      <c r="W73" s="388"/>
      <c r="X73" s="390"/>
    </row>
    <row r="74" spans="1:24" s="326" customFormat="1" ht="15" customHeight="1">
      <c r="A74" s="406" t="s">
        <v>2891</v>
      </c>
      <c r="B74" s="407" t="s">
        <v>2976</v>
      </c>
      <c r="C74" s="408" t="s">
        <v>3019</v>
      </c>
      <c r="D74" s="409"/>
      <c r="E74" s="409"/>
      <c r="F74" s="409"/>
      <c r="G74" s="409"/>
      <c r="H74" s="409"/>
      <c r="I74" s="409"/>
      <c r="J74" s="409"/>
      <c r="K74" s="408" t="s">
        <v>3020</v>
      </c>
      <c r="L74" s="409"/>
      <c r="M74" s="409"/>
      <c r="N74" s="409"/>
      <c r="O74" s="410"/>
      <c r="Q74" s="414" t="s">
        <v>3021</v>
      </c>
      <c r="S74" s="415" t="s">
        <v>3022</v>
      </c>
      <c r="T74" s="315"/>
      <c r="V74" s="315"/>
      <c r="W74" s="315"/>
      <c r="X74" s="361"/>
    </row>
    <row r="75" spans="1:24" s="326" customFormat="1" ht="15" customHeight="1">
      <c r="A75" s="411"/>
      <c r="B75" s="344" t="s">
        <v>3023</v>
      </c>
      <c r="C75" s="416"/>
      <c r="D75" s="416"/>
      <c r="E75" s="416"/>
      <c r="F75" s="416"/>
      <c r="G75" s="416"/>
      <c r="H75" s="416"/>
      <c r="I75" s="416"/>
      <c r="J75" s="416"/>
      <c r="K75" s="417"/>
      <c r="L75" s="416"/>
      <c r="M75" s="416"/>
      <c r="N75" s="416"/>
      <c r="O75" s="418"/>
      <c r="Q75" s="419" t="s">
        <v>3024</v>
      </c>
      <c r="R75" s="315"/>
      <c r="T75" s="315"/>
      <c r="U75" s="315"/>
      <c r="V75" s="315"/>
      <c r="W75" s="315"/>
      <c r="X75" s="361"/>
    </row>
    <row r="76" spans="1:24" s="326" customFormat="1" ht="15" customHeight="1">
      <c r="A76" s="420" t="s">
        <v>2891</v>
      </c>
      <c r="B76" s="357" t="s">
        <v>2976</v>
      </c>
      <c r="C76" s="322" t="s">
        <v>3025</v>
      </c>
      <c r="D76" s="322"/>
      <c r="E76" s="322"/>
      <c r="F76" s="322"/>
      <c r="G76" s="322"/>
      <c r="H76" s="322"/>
      <c r="I76" s="322"/>
      <c r="J76" s="322"/>
      <c r="K76" s="379" t="s">
        <v>3026</v>
      </c>
      <c r="L76" s="322"/>
      <c r="M76" s="322"/>
      <c r="N76" s="322"/>
      <c r="O76" s="325"/>
      <c r="Q76" s="401" t="s">
        <v>3000</v>
      </c>
      <c r="R76" s="315" t="s">
        <v>3027</v>
      </c>
      <c r="T76" s="315"/>
      <c r="U76" s="315" t="s">
        <v>3002</v>
      </c>
      <c r="V76" s="421" t="s">
        <v>3028</v>
      </c>
      <c r="W76" s="315"/>
      <c r="X76" s="361"/>
    </row>
    <row r="77" spans="1:24" s="326" customFormat="1" ht="15" customHeight="1">
      <c r="A77" s="406" t="s">
        <v>2891</v>
      </c>
      <c r="B77" s="422" t="s">
        <v>2976</v>
      </c>
      <c r="C77" s="322" t="s">
        <v>3029</v>
      </c>
      <c r="D77" s="322"/>
      <c r="E77" s="322"/>
      <c r="F77" s="322"/>
      <c r="G77" s="322"/>
      <c r="H77" s="322"/>
      <c r="I77" s="322"/>
      <c r="J77" s="322"/>
      <c r="K77" s="379" t="s">
        <v>2965</v>
      </c>
      <c r="L77" s="322"/>
      <c r="M77" s="322"/>
      <c r="N77" s="322"/>
      <c r="O77" s="325"/>
      <c r="Q77" s="423" t="s">
        <v>3005</v>
      </c>
      <c r="R77" s="363"/>
      <c r="S77" s="350"/>
      <c r="T77" s="350"/>
      <c r="U77" s="363"/>
      <c r="V77" s="363"/>
      <c r="W77" s="363"/>
      <c r="X77" s="364"/>
    </row>
    <row r="78" spans="1:24" ht="18" customHeight="1">
      <c r="A78" s="326" t="s">
        <v>3030</v>
      </c>
      <c r="B78" s="326"/>
      <c r="K78" s="326"/>
    </row>
    <row r="79" spans="1:24" ht="18" customHeight="1">
      <c r="A79" s="1522" t="s">
        <v>3031</v>
      </c>
      <c r="B79" s="1522"/>
      <c r="C79" s="1522"/>
      <c r="D79" s="1522"/>
      <c r="E79" s="1522"/>
      <c r="F79" s="1522"/>
      <c r="G79" s="1522"/>
      <c r="H79" s="1522"/>
      <c r="I79" s="1522"/>
      <c r="J79" s="1522"/>
      <c r="K79" s="1522"/>
      <c r="L79" s="1522"/>
      <c r="M79" s="1522"/>
      <c r="N79" s="1522"/>
      <c r="O79" s="1522"/>
      <c r="P79" s="1522"/>
      <c r="Q79" s="1522"/>
      <c r="R79" s="1522"/>
      <c r="S79" s="1522"/>
      <c r="T79" s="1522"/>
      <c r="U79" s="1522"/>
      <c r="V79" s="1522"/>
      <c r="W79" s="1522"/>
      <c r="X79" s="1522"/>
    </row>
  </sheetData>
  <mergeCells count="23">
    <mergeCell ref="C65:O65"/>
    <mergeCell ref="C67:O68"/>
    <mergeCell ref="C69:O69"/>
    <mergeCell ref="C70:O70"/>
    <mergeCell ref="A79:X79"/>
    <mergeCell ref="C63:O63"/>
    <mergeCell ref="A7:O7"/>
    <mergeCell ref="Q7:X7"/>
    <mergeCell ref="Q11:X11"/>
    <mergeCell ref="A12:A13"/>
    <mergeCell ref="A15:A17"/>
    <mergeCell ref="A32:O32"/>
    <mergeCell ref="A35:A36"/>
    <mergeCell ref="A38:A40"/>
    <mergeCell ref="Q46:X46"/>
    <mergeCell ref="A57:O57"/>
    <mergeCell ref="Q57:X57"/>
    <mergeCell ref="U1:X1"/>
    <mergeCell ref="A3:X4"/>
    <mergeCell ref="A5:O5"/>
    <mergeCell ref="Q5:X5"/>
    <mergeCell ref="B6:O6"/>
    <mergeCell ref="R6:X6"/>
  </mergeCells>
  <phoneticPr fontId="139"/>
  <hyperlinks>
    <hyperlink ref="R59" r:id="rId1" xr:uid="{00000000-0004-0000-0D00-000000000000}"/>
    <hyperlink ref="U60" r:id="rId2" xr:uid="{00000000-0004-0000-0D00-000001000000}"/>
    <hyperlink ref="U61" r:id="rId3" xr:uid="{00000000-0004-0000-0D00-000002000000}"/>
  </hyperlinks>
  <pageMargins left="0.39370078740157483" right="0" top="0.19685039370078741" bottom="0.19685039370078741" header="0" footer="0"/>
  <pageSetup paperSize="9" scale="70" fitToWidth="0" orientation="portrait"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5117038483843"/>
    <pageSetUpPr fitToPage="1"/>
  </sheetPr>
  <dimension ref="A1:R62"/>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24">
        <v>20190401</v>
      </c>
      <c r="N1" s="1524"/>
      <c r="O1" s="1524"/>
      <c r="P1" s="1524"/>
    </row>
    <row r="2" spans="1:16" ht="24.4" customHeight="1">
      <c r="A2" s="1525" t="s">
        <v>3032</v>
      </c>
      <c r="B2" s="1526"/>
      <c r="C2" s="1527"/>
      <c r="D2" s="425" t="s">
        <v>3033</v>
      </c>
      <c r="E2" s="426"/>
      <c r="F2" s="426"/>
      <c r="G2" s="426"/>
      <c r="H2" s="426"/>
      <c r="I2" s="426"/>
      <c r="J2" s="427"/>
      <c r="M2" s="1531" t="s">
        <v>3034</v>
      </c>
      <c r="N2" s="1532"/>
      <c r="O2" s="1532"/>
      <c r="P2" s="1533"/>
    </row>
    <row r="3" spans="1:16" ht="24.4" customHeight="1">
      <c r="A3" s="1528"/>
      <c r="B3" s="1529"/>
      <c r="C3" s="1530"/>
      <c r="D3" s="425" t="s">
        <v>3035</v>
      </c>
      <c r="E3" s="426"/>
      <c r="F3" s="426"/>
      <c r="G3" s="426"/>
      <c r="H3" s="426"/>
      <c r="I3" s="426"/>
      <c r="J3" s="427"/>
      <c r="M3" s="1534"/>
      <c r="N3" s="1535"/>
      <c r="O3" s="1535"/>
      <c r="P3" s="1536"/>
    </row>
    <row r="4" spans="1:16" ht="15.75">
      <c r="A4" s="425" t="s">
        <v>3036</v>
      </c>
      <c r="B4" s="428"/>
      <c r="C4" s="428"/>
      <c r="D4" s="428"/>
      <c r="E4" s="426"/>
      <c r="F4" s="426"/>
      <c r="G4" s="426"/>
      <c r="H4" s="426"/>
      <c r="I4" s="426"/>
      <c r="J4" s="427"/>
      <c r="M4" s="1534"/>
      <c r="N4" s="1535"/>
      <c r="O4" s="1535"/>
      <c r="P4" s="1536"/>
    </row>
    <row r="5" spans="1:16" ht="15.75">
      <c r="A5" s="425" t="s">
        <v>3037</v>
      </c>
      <c r="B5" s="428"/>
      <c r="C5" s="428"/>
      <c r="D5" s="428"/>
      <c r="E5" s="426"/>
      <c r="F5" s="426"/>
      <c r="G5" s="426"/>
      <c r="H5" s="426"/>
      <c r="I5" s="426"/>
      <c r="J5" s="427"/>
      <c r="M5" s="1537"/>
      <c r="N5" s="1538"/>
      <c r="O5" s="1538"/>
      <c r="P5" s="1539"/>
    </row>
    <row r="6" spans="1:16" ht="15.75">
      <c r="A6" s="425" t="s">
        <v>3037</v>
      </c>
      <c r="B6" s="428"/>
      <c r="C6" s="428"/>
      <c r="D6" s="428"/>
      <c r="E6" s="426"/>
      <c r="F6" s="426"/>
      <c r="G6" s="426"/>
      <c r="H6" s="426"/>
      <c r="I6" s="426"/>
      <c r="J6" s="427"/>
      <c r="M6" s="1540"/>
      <c r="N6" s="1541"/>
      <c r="O6" s="1541"/>
      <c r="P6" s="1542"/>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543" t="s">
        <v>2752</v>
      </c>
      <c r="B9" s="1544"/>
      <c r="C9" s="1544"/>
      <c r="D9" s="1544"/>
      <c r="E9" s="1544"/>
      <c r="F9" s="1544"/>
      <c r="G9" s="1544"/>
      <c r="H9" s="1544"/>
      <c r="I9" s="1544"/>
      <c r="J9" s="1544"/>
      <c r="K9" s="1544"/>
      <c r="L9" s="1544"/>
      <c r="M9" s="1544"/>
      <c r="N9" s="1544"/>
      <c r="O9" s="1544"/>
      <c r="P9" s="1544"/>
    </row>
    <row r="10" spans="1:16" ht="15.75">
      <c r="A10" s="1544"/>
      <c r="B10" s="1544"/>
      <c r="C10" s="1544"/>
      <c r="D10" s="1544"/>
      <c r="E10" s="1544"/>
      <c r="F10" s="1544"/>
      <c r="G10" s="1544"/>
      <c r="H10" s="1544"/>
      <c r="I10" s="1544"/>
      <c r="J10" s="1544"/>
      <c r="K10" s="1544"/>
      <c r="L10" s="1544"/>
      <c r="M10" s="1544"/>
      <c r="N10" s="1544"/>
      <c r="O10" s="1544"/>
      <c r="P10" s="1544"/>
    </row>
    <row r="11" spans="1:16" ht="9.9499999999999993" customHeight="1">
      <c r="A11" s="432"/>
      <c r="B11" s="432"/>
      <c r="C11" s="432"/>
      <c r="D11" s="432"/>
      <c r="E11" s="432"/>
      <c r="F11" s="432"/>
      <c r="G11" s="432"/>
      <c r="H11" s="432"/>
      <c r="I11" s="432"/>
      <c r="J11" s="432"/>
      <c r="K11" s="432"/>
      <c r="L11" s="432"/>
      <c r="M11" s="432"/>
      <c r="N11" s="432"/>
      <c r="O11" s="432"/>
      <c r="P11" s="432"/>
    </row>
    <row r="12" spans="1:16">
      <c r="A12" s="1545" t="s">
        <v>3040</v>
      </c>
      <c r="B12" s="1546"/>
      <c r="C12" s="1546"/>
      <c r="D12" s="1546"/>
      <c r="E12" s="1546"/>
      <c r="F12" s="1546"/>
      <c r="G12" s="1546"/>
      <c r="H12" s="1546"/>
      <c r="I12" s="1546"/>
      <c r="J12" s="1546"/>
      <c r="K12" s="1546"/>
      <c r="L12" s="1546"/>
      <c r="M12" s="1546"/>
      <c r="N12" s="1546"/>
      <c r="O12" s="1546"/>
      <c r="P12" s="1547"/>
    </row>
    <row r="13" spans="1:16" ht="24.95" customHeight="1">
      <c r="A13" s="433" t="s">
        <v>3041</v>
      </c>
      <c r="B13" s="1548" t="str">
        <f>cst_wskakunin_BUILD__address</f>
        <v/>
      </c>
      <c r="C13" s="1548"/>
      <c r="D13" s="1548"/>
      <c r="E13" s="1548"/>
      <c r="F13" s="1548"/>
      <c r="G13" s="1548"/>
      <c r="H13" s="1548"/>
      <c r="I13" s="1548"/>
      <c r="J13" s="1548"/>
      <c r="K13" s="1548"/>
      <c r="L13" s="1548"/>
      <c r="M13" s="1548"/>
      <c r="N13" s="1548"/>
      <c r="O13" s="1548"/>
      <c r="P13" s="1548"/>
    </row>
    <row r="14" spans="1:16" ht="24.95" customHeight="1">
      <c r="A14" s="433" t="s">
        <v>3042</v>
      </c>
      <c r="B14" s="1548" t="str">
        <f>cst_wskakunin_owner1__space&amp;" "&amp;cst_wskakunin_owner2__space&amp;" "&amp;cst_wskakunin_owner3__space&amp;" "&amp;cst_wskakunin_owner4__space</f>
        <v xml:space="preserve">   </v>
      </c>
      <c r="C14" s="1548"/>
      <c r="D14" s="1548"/>
      <c r="E14" s="1548"/>
      <c r="F14" s="1548"/>
      <c r="G14" s="1548"/>
      <c r="H14" s="1548"/>
      <c r="I14" s="1548"/>
      <c r="J14" s="1548"/>
      <c r="K14" s="1548"/>
      <c r="L14" s="1548"/>
      <c r="M14" s="1548"/>
      <c r="N14" s="1548"/>
      <c r="O14" s="1548"/>
      <c r="P14" s="1548"/>
    </row>
    <row r="15" spans="1:16" ht="24.95" customHeight="1">
      <c r="A15" s="433" t="s">
        <v>3043</v>
      </c>
      <c r="B15" s="1549" t="str">
        <f>IF(目次・入力シート!BJ11="","「目次･入力シート」に入力してください",目次・入力シート!BJ11)</f>
        <v>「目次･入力シート」に入力してください</v>
      </c>
      <c r="C15" s="1549"/>
      <c r="D15" s="1549"/>
      <c r="E15" s="1549"/>
      <c r="F15" s="1549"/>
      <c r="G15" s="1549"/>
      <c r="H15" s="1549"/>
      <c r="I15" s="1549"/>
      <c r="J15" s="1549"/>
      <c r="K15" s="1549"/>
      <c r="L15" s="1549"/>
      <c r="M15" s="1549"/>
      <c r="N15" s="1549"/>
      <c r="O15" s="1549"/>
      <c r="P15" s="1549"/>
    </row>
    <row r="16" spans="1:16" ht="24.95" customHeight="1">
      <c r="A16" s="433" t="s">
        <v>3044</v>
      </c>
      <c r="B16" s="1523" t="str">
        <f>IF(目次・入力シート!BJ13="","「目次･入力シート」に入力してください",目次・入力シート!BJ13)</f>
        <v>「目次･入力シート」に入力してください</v>
      </c>
      <c r="C16" s="1523"/>
      <c r="D16" s="1523"/>
      <c r="E16" s="1523"/>
      <c r="F16" s="1523"/>
      <c r="G16" s="434"/>
      <c r="H16" s="434"/>
      <c r="I16" s="434"/>
      <c r="J16" s="434"/>
      <c r="K16" s="435"/>
      <c r="L16" s="435"/>
      <c r="M16" s="435"/>
      <c r="N16" s="435"/>
      <c r="O16" s="435"/>
      <c r="P16" s="435"/>
    </row>
    <row r="17" spans="1:16" ht="24.95" customHeight="1">
      <c r="A17" s="433" t="s">
        <v>3045</v>
      </c>
      <c r="B17" s="1523" t="str">
        <f>IF(目次・入力シート!BJ15="","「目次･入力シート」に入力してください",目次・入力シート!BJ15)</f>
        <v>「目次･入力シート」に入力してください</v>
      </c>
      <c r="C17" s="1523"/>
      <c r="D17" s="1523"/>
      <c r="E17" s="1523"/>
      <c r="F17" s="1523"/>
      <c r="G17" s="434"/>
      <c r="H17" s="434"/>
      <c r="J17" s="434"/>
      <c r="K17" s="435" t="s">
        <v>3046</v>
      </c>
      <c r="L17" s="1523" t="str">
        <f>IF(目次・入力シート!BJ19="","「目次･入力シート」に入力してください",目次・入力シート!BJ19)</f>
        <v>「目次･入力シート」に入力してください</v>
      </c>
      <c r="M17" s="1523"/>
      <c r="N17" s="1523"/>
      <c r="O17" s="1523"/>
      <c r="P17" s="1523"/>
    </row>
    <row r="18" spans="1:16" ht="24.95" customHeight="1">
      <c r="A18" s="433" t="s">
        <v>3047</v>
      </c>
      <c r="B18" s="1523" t="str">
        <f>IF(目次・入力シート!BJ17="","「目次･入力シート」に入力してください",目次・入力シート!BJ17)</f>
        <v>「目次･入力シート」に入力してください</v>
      </c>
      <c r="C18" s="1523"/>
      <c r="D18" s="1523"/>
      <c r="E18" s="1523"/>
      <c r="F18" s="1523"/>
      <c r="G18" s="434"/>
      <c r="H18" s="434"/>
      <c r="I18" s="435"/>
      <c r="J18" s="434"/>
      <c r="K18" s="435" t="s">
        <v>3048</v>
      </c>
      <c r="L18" s="1523" t="str">
        <f>IF(目次・入力シート!BJ21="","「目次･入力シート」に入力してください",目次・入力シート!BJ21)</f>
        <v>「目次･入力シート」に入力してください</v>
      </c>
      <c r="M18" s="1523"/>
      <c r="N18" s="1523"/>
      <c r="O18" s="1523"/>
      <c r="P18" s="1523"/>
    </row>
    <row r="19" spans="1:16" s="440" customFormat="1" ht="9.9499999999999993" customHeight="1">
      <c r="A19" s="436"/>
      <c r="B19" s="437"/>
      <c r="C19" s="437"/>
      <c r="D19" s="437"/>
      <c r="E19" s="437"/>
      <c r="F19" s="437"/>
      <c r="G19" s="438"/>
      <c r="H19" s="438"/>
      <c r="I19" s="439"/>
      <c r="J19" s="438"/>
      <c r="K19" s="439"/>
    </row>
    <row r="20" spans="1:16">
      <c r="A20" s="1553" t="s">
        <v>3049</v>
      </c>
      <c r="B20" s="1553"/>
      <c r="C20" s="1553"/>
      <c r="D20" s="1553"/>
      <c r="E20" s="1553"/>
      <c r="F20" s="1553"/>
      <c r="G20" s="1553"/>
      <c r="H20" s="1553"/>
      <c r="I20" s="1553"/>
      <c r="J20" s="1553"/>
      <c r="K20" s="1553"/>
      <c r="L20" s="1553"/>
      <c r="M20" s="1553"/>
      <c r="N20" s="1553"/>
      <c r="O20" s="1553"/>
      <c r="P20" s="1553"/>
    </row>
    <row r="21" spans="1:16" ht="12" customHeight="1">
      <c r="A21" s="1554" t="s">
        <v>2887</v>
      </c>
      <c r="B21" s="1554" t="s">
        <v>2888</v>
      </c>
      <c r="C21" s="1554"/>
      <c r="D21" s="1554"/>
      <c r="E21" s="1554"/>
      <c r="F21" s="1554"/>
      <c r="G21" s="1554"/>
      <c r="H21" s="1554"/>
      <c r="I21" s="1554"/>
      <c r="J21" s="1554"/>
      <c r="K21" s="1554"/>
      <c r="L21" s="1554"/>
      <c r="M21" s="1554"/>
      <c r="N21" s="1554"/>
      <c r="O21" s="1555" t="s">
        <v>3050</v>
      </c>
      <c r="P21" s="1555" t="s">
        <v>3051</v>
      </c>
    </row>
    <row r="22" spans="1:16" ht="12" customHeight="1">
      <c r="A22" s="1554"/>
      <c r="B22" s="1554"/>
      <c r="C22" s="1554"/>
      <c r="D22" s="1554"/>
      <c r="E22" s="1554"/>
      <c r="F22" s="1554"/>
      <c r="G22" s="1554"/>
      <c r="H22" s="1554"/>
      <c r="I22" s="1554"/>
      <c r="J22" s="1554"/>
      <c r="K22" s="1554"/>
      <c r="L22" s="1554"/>
      <c r="M22" s="1554"/>
      <c r="N22" s="1554"/>
      <c r="O22" s="1555"/>
      <c r="P22" s="1555"/>
    </row>
    <row r="23" spans="1:16" ht="15" customHeight="1">
      <c r="A23" s="1556" t="s">
        <v>2889</v>
      </c>
      <c r="B23" s="1557"/>
      <c r="C23" s="1557"/>
      <c r="D23" s="1557"/>
      <c r="E23" s="1557"/>
      <c r="F23" s="1557"/>
      <c r="G23" s="1557"/>
      <c r="H23" s="1557"/>
      <c r="I23" s="1557"/>
      <c r="J23" s="1557"/>
      <c r="K23" s="1557"/>
      <c r="L23" s="1557"/>
      <c r="M23" s="1557"/>
      <c r="N23" s="1558"/>
      <c r="O23" s="441"/>
      <c r="P23" s="442"/>
    </row>
    <row r="24" spans="1:16" s="450" customFormat="1" ht="15" customHeight="1">
      <c r="A24" s="443" t="s">
        <v>2891</v>
      </c>
      <c r="B24" s="444" t="s">
        <v>3052</v>
      </c>
      <c r="C24" s="445"/>
      <c r="D24" s="445"/>
      <c r="E24" s="445"/>
      <c r="F24" s="445"/>
      <c r="G24" s="445"/>
      <c r="H24" s="445"/>
      <c r="I24" s="445"/>
      <c r="J24" s="446"/>
      <c r="K24" s="447"/>
      <c r="L24" s="445"/>
      <c r="M24" s="445"/>
      <c r="N24" s="445"/>
      <c r="O24" s="448"/>
      <c r="P24" s="449" t="s">
        <v>28</v>
      </c>
    </row>
    <row r="25" spans="1:16" s="450" customFormat="1" ht="15" customHeight="1">
      <c r="A25" s="443" t="s">
        <v>2891</v>
      </c>
      <c r="B25" s="444" t="s">
        <v>3053</v>
      </c>
      <c r="C25" s="445"/>
      <c r="D25" s="445"/>
      <c r="E25" s="445"/>
      <c r="F25" s="445"/>
      <c r="G25" s="445"/>
      <c r="H25" s="445"/>
      <c r="I25" s="445"/>
      <c r="J25" s="445"/>
      <c r="K25" s="447" t="s">
        <v>2900</v>
      </c>
      <c r="L25" s="445"/>
      <c r="M25" s="445"/>
      <c r="N25" s="445"/>
      <c r="O25" s="448"/>
      <c r="P25" s="449" t="s">
        <v>28</v>
      </c>
    </row>
    <row r="26" spans="1:16" s="450" customFormat="1" ht="15" customHeight="1">
      <c r="A26" s="443" t="s">
        <v>2891</v>
      </c>
      <c r="B26" s="444" t="s">
        <v>2901</v>
      </c>
      <c r="C26" s="445"/>
      <c r="D26" s="445"/>
      <c r="E26" s="445"/>
      <c r="F26" s="445"/>
      <c r="G26" s="445"/>
      <c r="H26" s="445"/>
      <c r="I26" s="445"/>
      <c r="J26" s="445"/>
      <c r="K26" s="447" t="s">
        <v>2902</v>
      </c>
      <c r="L26" s="451"/>
      <c r="M26" s="445"/>
      <c r="N26" s="445"/>
      <c r="O26" s="448"/>
      <c r="P26" s="449" t="s">
        <v>28</v>
      </c>
    </row>
    <row r="27" spans="1:16" s="450" customFormat="1" ht="15" customHeight="1">
      <c r="A27" s="1559" t="s">
        <v>2904</v>
      </c>
      <c r="B27" s="452" t="s">
        <v>2905</v>
      </c>
      <c r="C27" s="453"/>
      <c r="D27" s="453"/>
      <c r="E27" s="453"/>
      <c r="F27" s="453"/>
      <c r="G27" s="453"/>
      <c r="H27" s="453"/>
      <c r="I27" s="453"/>
      <c r="J27" s="453"/>
      <c r="K27" s="454"/>
      <c r="L27" s="453"/>
      <c r="M27" s="453"/>
      <c r="N27" s="453"/>
      <c r="O27" s="455"/>
      <c r="P27" s="455"/>
    </row>
    <row r="28" spans="1:16" s="450" customFormat="1" ht="15" customHeight="1">
      <c r="A28" s="1559"/>
      <c r="B28" s="456" t="s">
        <v>2907</v>
      </c>
      <c r="C28" s="457"/>
      <c r="D28" s="457"/>
      <c r="E28" s="457"/>
      <c r="F28" s="457"/>
      <c r="G28" s="457"/>
      <c r="H28" s="457"/>
      <c r="I28" s="457"/>
      <c r="J28" s="457"/>
      <c r="K28" s="458" t="s">
        <v>2908</v>
      </c>
      <c r="L28" s="459"/>
      <c r="M28" s="457"/>
      <c r="N28" s="457"/>
      <c r="O28" s="460"/>
      <c r="P28" s="461" t="s">
        <v>28</v>
      </c>
    </row>
    <row r="29" spans="1:16" s="450" customFormat="1" ht="15" customHeight="1">
      <c r="A29" s="462" t="s">
        <v>2910</v>
      </c>
      <c r="B29" s="456" t="s">
        <v>2911</v>
      </c>
      <c r="C29" s="457"/>
      <c r="D29" s="457"/>
      <c r="E29" s="457"/>
      <c r="F29" s="457"/>
      <c r="G29" s="457"/>
      <c r="H29" s="457"/>
      <c r="I29" s="457"/>
      <c r="J29" s="457"/>
      <c r="K29" s="458"/>
      <c r="L29" s="457"/>
      <c r="M29" s="457"/>
      <c r="N29" s="457"/>
      <c r="O29" s="460"/>
      <c r="P29" s="461" t="s">
        <v>28</v>
      </c>
    </row>
    <row r="30" spans="1:16" s="450" customFormat="1" ht="15" customHeight="1">
      <c r="A30" s="1560" t="s">
        <v>2913</v>
      </c>
      <c r="B30" s="456" t="s">
        <v>2914</v>
      </c>
      <c r="C30" s="457"/>
      <c r="D30" s="457"/>
      <c r="E30" s="457"/>
      <c r="F30" s="457"/>
      <c r="G30" s="457"/>
      <c r="H30" s="457"/>
      <c r="I30" s="457"/>
      <c r="J30" s="457"/>
      <c r="K30" s="458" t="s">
        <v>2915</v>
      </c>
      <c r="L30" s="457"/>
      <c r="M30" s="457"/>
      <c r="N30" s="457"/>
      <c r="O30" s="460"/>
      <c r="P30" s="461" t="s">
        <v>28</v>
      </c>
    </row>
    <row r="31" spans="1:16" s="450" customFormat="1" ht="15" customHeight="1">
      <c r="A31" s="1560"/>
      <c r="B31" s="456" t="s">
        <v>2917</v>
      </c>
      <c r="C31" s="457"/>
      <c r="D31" s="457"/>
      <c r="E31" s="457"/>
      <c r="F31" s="457"/>
      <c r="G31" s="457"/>
      <c r="H31" s="457"/>
      <c r="I31" s="457"/>
      <c r="J31" s="457"/>
      <c r="K31" s="458" t="s">
        <v>2918</v>
      </c>
      <c r="L31" s="457"/>
      <c r="M31" s="457"/>
      <c r="N31" s="457"/>
      <c r="O31" s="460"/>
      <c r="P31" s="461" t="s">
        <v>28</v>
      </c>
    </row>
    <row r="32" spans="1:16" s="450" customFormat="1" ht="15" customHeight="1">
      <c r="A32" s="1560"/>
      <c r="B32" s="456" t="s">
        <v>2920</v>
      </c>
      <c r="C32" s="457"/>
      <c r="D32" s="457"/>
      <c r="E32" s="457"/>
      <c r="F32" s="457"/>
      <c r="G32" s="457"/>
      <c r="H32" s="457"/>
      <c r="I32" s="457"/>
      <c r="J32" s="457"/>
      <c r="K32" s="458" t="s">
        <v>2918</v>
      </c>
      <c r="L32" s="457"/>
      <c r="M32" s="457"/>
      <c r="N32" s="457"/>
      <c r="O32" s="460"/>
      <c r="P32" s="461" t="s">
        <v>28</v>
      </c>
    </row>
    <row r="33" spans="1:18" s="450" customFormat="1" ht="15" customHeight="1">
      <c r="A33" s="462" t="s">
        <v>2922</v>
      </c>
      <c r="B33" s="456" t="s">
        <v>2923</v>
      </c>
      <c r="C33" s="457"/>
      <c r="D33" s="457"/>
      <c r="E33" s="457"/>
      <c r="F33" s="457"/>
      <c r="G33" s="457"/>
      <c r="H33" s="457"/>
      <c r="I33" s="457"/>
      <c r="J33" s="457"/>
      <c r="K33" s="458" t="s">
        <v>2918</v>
      </c>
      <c r="L33" s="457"/>
      <c r="M33" s="457"/>
      <c r="N33" s="457"/>
      <c r="O33" s="460"/>
      <c r="P33" s="461" t="s">
        <v>28</v>
      </c>
    </row>
    <row r="34" spans="1:18" s="450" customFormat="1" ht="15" customHeight="1">
      <c r="A34" s="462" t="s">
        <v>2925</v>
      </c>
      <c r="B34" s="456" t="s">
        <v>2926</v>
      </c>
      <c r="C34" s="457"/>
      <c r="D34" s="457"/>
      <c r="E34" s="457"/>
      <c r="F34" s="457"/>
      <c r="G34" s="457"/>
      <c r="H34" s="457"/>
      <c r="I34" s="457"/>
      <c r="J34" s="457"/>
      <c r="K34" s="458"/>
      <c r="L34" s="457"/>
      <c r="M34" s="457"/>
      <c r="N34" s="457"/>
      <c r="O34" s="460"/>
      <c r="P34" s="461" t="s">
        <v>28</v>
      </c>
    </row>
    <row r="35" spans="1:18" s="450" customFormat="1" ht="15" customHeight="1">
      <c r="A35" s="462" t="s">
        <v>2928</v>
      </c>
      <c r="B35" s="456" t="s">
        <v>2960</v>
      </c>
      <c r="C35" s="457"/>
      <c r="D35" s="457"/>
      <c r="E35" s="457"/>
      <c r="F35" s="457"/>
      <c r="G35" s="457"/>
      <c r="H35" s="457"/>
      <c r="I35" s="457"/>
      <c r="J35" s="457"/>
      <c r="K35" s="458" t="s">
        <v>2918</v>
      </c>
      <c r="L35" s="457"/>
      <c r="M35" s="457"/>
      <c r="N35" s="457"/>
      <c r="O35" s="460"/>
      <c r="P35" s="461" t="s">
        <v>28</v>
      </c>
    </row>
    <row r="36" spans="1:18" ht="15" customHeight="1">
      <c r="A36" s="462" t="s">
        <v>2931</v>
      </c>
      <c r="B36" s="456" t="s">
        <v>2932</v>
      </c>
      <c r="C36" s="463"/>
      <c r="D36" s="463"/>
      <c r="E36" s="463"/>
      <c r="F36" s="463"/>
      <c r="G36" s="463"/>
      <c r="H36" s="463"/>
      <c r="I36" s="463"/>
      <c r="J36" s="463"/>
      <c r="K36" s="458" t="s">
        <v>2918</v>
      </c>
      <c r="L36" s="463"/>
      <c r="M36" s="463"/>
      <c r="N36" s="463"/>
      <c r="O36" s="460"/>
      <c r="P36" s="461" t="s">
        <v>28</v>
      </c>
    </row>
    <row r="37" spans="1:18" ht="15" customHeight="1">
      <c r="A37" s="462" t="s">
        <v>2925</v>
      </c>
      <c r="B37" s="464" t="s">
        <v>2934</v>
      </c>
      <c r="C37" s="465"/>
      <c r="D37" s="465"/>
      <c r="E37" s="465"/>
      <c r="F37" s="465"/>
      <c r="G37" s="465"/>
      <c r="H37" s="465"/>
      <c r="I37" s="465"/>
      <c r="J37" s="465"/>
      <c r="K37" s="466" t="s">
        <v>2918</v>
      </c>
      <c r="L37" s="465"/>
      <c r="M37" s="465"/>
      <c r="N37" s="465"/>
      <c r="O37" s="460"/>
      <c r="P37" s="467" t="s">
        <v>28</v>
      </c>
    </row>
    <row r="38" spans="1:18" ht="15" customHeight="1">
      <c r="A38" s="443" t="s">
        <v>2936</v>
      </c>
      <c r="B38" s="444" t="s">
        <v>2937</v>
      </c>
      <c r="C38" s="468"/>
      <c r="D38" s="468"/>
      <c r="E38" s="468"/>
      <c r="F38" s="468"/>
      <c r="G38" s="468"/>
      <c r="H38" s="468"/>
      <c r="I38" s="468"/>
      <c r="J38" s="468"/>
      <c r="K38" s="447" t="s">
        <v>2918</v>
      </c>
      <c r="L38" s="468"/>
      <c r="M38" s="468"/>
      <c r="N38" s="468"/>
      <c r="O38" s="448"/>
      <c r="P38" s="449" t="s">
        <v>28</v>
      </c>
    </row>
    <row r="39" spans="1:18" ht="15" customHeight="1">
      <c r="A39" s="443" t="s">
        <v>2936</v>
      </c>
      <c r="B39" s="444" t="s">
        <v>2939</v>
      </c>
      <c r="C39" s="468"/>
      <c r="D39" s="468"/>
      <c r="E39" s="468"/>
      <c r="F39" s="468"/>
      <c r="G39" s="468"/>
      <c r="H39" s="468"/>
      <c r="I39" s="468"/>
      <c r="J39" s="468"/>
      <c r="K39" s="447" t="s">
        <v>2918</v>
      </c>
      <c r="L39" s="468"/>
      <c r="M39" s="468"/>
      <c r="N39" s="468"/>
      <c r="O39" s="448"/>
      <c r="P39" s="449" t="s">
        <v>28</v>
      </c>
    </row>
    <row r="40" spans="1:18" ht="15" customHeight="1">
      <c r="A40" s="443" t="s">
        <v>2936</v>
      </c>
      <c r="B40" s="444" t="s">
        <v>2941</v>
      </c>
      <c r="C40" s="468"/>
      <c r="D40" s="468"/>
      <c r="E40" s="468"/>
      <c r="F40" s="468"/>
      <c r="G40" s="468"/>
      <c r="H40" s="468"/>
      <c r="I40" s="468"/>
      <c r="J40" s="468"/>
      <c r="K40" s="447" t="s">
        <v>2918</v>
      </c>
      <c r="L40" s="468"/>
      <c r="M40" s="468"/>
      <c r="N40" s="468"/>
      <c r="O40" s="448"/>
      <c r="P40" s="449" t="s">
        <v>28</v>
      </c>
    </row>
    <row r="41" spans="1:18" ht="15" customHeight="1">
      <c r="A41" s="443" t="s">
        <v>2891</v>
      </c>
      <c r="B41" s="444" t="s">
        <v>2943</v>
      </c>
      <c r="C41" s="468"/>
      <c r="D41" s="468"/>
      <c r="E41" s="468"/>
      <c r="F41" s="468"/>
      <c r="G41" s="468"/>
      <c r="H41" s="468"/>
      <c r="I41" s="468"/>
      <c r="J41" s="468"/>
      <c r="K41" s="447"/>
      <c r="L41" s="468"/>
      <c r="M41" s="468"/>
      <c r="N41" s="468"/>
      <c r="O41" s="448"/>
      <c r="P41" s="449" t="s">
        <v>28</v>
      </c>
    </row>
    <row r="42" spans="1:18" ht="15" customHeight="1">
      <c r="A42" s="443" t="s">
        <v>2891</v>
      </c>
      <c r="B42" s="444" t="s">
        <v>3054</v>
      </c>
      <c r="C42" s="468"/>
      <c r="D42" s="468"/>
      <c r="E42" s="468"/>
      <c r="F42" s="468"/>
      <c r="G42" s="468"/>
      <c r="H42" s="468"/>
      <c r="I42" s="468"/>
      <c r="J42" s="468"/>
      <c r="K42" s="447"/>
      <c r="L42" s="468"/>
      <c r="M42" s="468"/>
      <c r="N42" s="469"/>
      <c r="O42" s="448"/>
      <c r="P42" s="449" t="s">
        <v>28</v>
      </c>
    </row>
    <row r="43" spans="1:18" s="450" customFormat="1" ht="15" customHeight="1">
      <c r="A43" s="443" t="s">
        <v>2891</v>
      </c>
      <c r="B43" s="444" t="s">
        <v>2947</v>
      </c>
      <c r="C43" s="468"/>
      <c r="D43" s="468"/>
      <c r="E43" s="470"/>
      <c r="F43" s="470"/>
      <c r="G43" s="470"/>
      <c r="H43" s="470"/>
      <c r="I43" s="468"/>
      <c r="J43" s="468"/>
      <c r="K43" s="447" t="s">
        <v>2918</v>
      </c>
      <c r="L43" s="468"/>
      <c r="M43" s="468"/>
      <c r="N43" s="468"/>
      <c r="O43" s="448"/>
      <c r="P43" s="449" t="s">
        <v>28</v>
      </c>
    </row>
    <row r="44" spans="1:18" s="429" customFormat="1" ht="4.5" customHeight="1">
      <c r="A44" s="471"/>
      <c r="B44" s="450"/>
      <c r="C44" s="472"/>
      <c r="I44" s="473"/>
      <c r="J44" s="473"/>
      <c r="K44" s="450"/>
      <c r="O44" s="474"/>
      <c r="P44" s="474"/>
    </row>
    <row r="45" spans="1:18" s="429" customFormat="1" ht="15" customHeight="1">
      <c r="A45" s="1561" t="s">
        <v>5</v>
      </c>
      <c r="B45" s="475" t="s">
        <v>3055</v>
      </c>
      <c r="C45" s="476"/>
      <c r="D45" s="477"/>
      <c r="E45" s="477"/>
      <c r="F45" s="477"/>
      <c r="G45" s="477"/>
      <c r="H45" s="477"/>
      <c r="I45" s="478"/>
      <c r="J45" s="478"/>
      <c r="K45" s="477"/>
      <c r="L45" s="477"/>
      <c r="M45" s="477"/>
      <c r="N45" s="477"/>
      <c r="O45" s="479"/>
      <c r="P45" s="449" t="s">
        <v>28</v>
      </c>
    </row>
    <row r="46" spans="1:18" s="429" customFormat="1" ht="15" customHeight="1">
      <c r="A46" s="1562"/>
      <c r="B46" s="464" t="s">
        <v>3056</v>
      </c>
      <c r="C46" s="480"/>
      <c r="D46" s="481"/>
      <c r="E46" s="465"/>
      <c r="F46" s="465"/>
      <c r="G46" s="465"/>
      <c r="H46" s="465"/>
      <c r="I46" s="482"/>
      <c r="J46" s="482"/>
      <c r="K46" s="466" t="s">
        <v>3057</v>
      </c>
      <c r="L46" s="465"/>
      <c r="M46" s="465"/>
      <c r="N46" s="465"/>
      <c r="O46" s="483"/>
      <c r="P46" s="449" t="s">
        <v>28</v>
      </c>
    </row>
    <row r="47" spans="1:18" ht="8.1" customHeight="1">
      <c r="A47" s="484"/>
      <c r="B47" s="485"/>
      <c r="C47" s="486"/>
      <c r="D47" s="486"/>
      <c r="E47" s="486"/>
      <c r="F47" s="486"/>
      <c r="G47" s="486"/>
      <c r="H47" s="486"/>
      <c r="I47" s="486"/>
      <c r="J47" s="486"/>
      <c r="K47" s="486"/>
      <c r="L47" s="486"/>
      <c r="M47" s="486"/>
      <c r="N47" s="486"/>
      <c r="O47" s="486"/>
      <c r="P47" s="486"/>
      <c r="Q47" s="433"/>
      <c r="R47" s="433"/>
    </row>
    <row r="48" spans="1:18" ht="15" customHeight="1">
      <c r="A48" s="472" t="s">
        <v>3058</v>
      </c>
      <c r="B48" s="429" t="s">
        <v>3059</v>
      </c>
      <c r="C48" s="487"/>
      <c r="I48" s="433"/>
      <c r="J48" s="433"/>
      <c r="O48" s="424"/>
      <c r="P48" s="424"/>
    </row>
    <row r="49" spans="1:18" ht="15" customHeight="1">
      <c r="A49" s="472"/>
      <c r="B49" s="429" t="s">
        <v>3060</v>
      </c>
      <c r="C49" s="487"/>
      <c r="I49" s="433"/>
      <c r="J49" s="433"/>
      <c r="O49" s="424"/>
      <c r="P49" s="424"/>
    </row>
    <row r="50" spans="1:18" ht="15" customHeight="1">
      <c r="A50" s="472" t="s">
        <v>3061</v>
      </c>
      <c r="B50" s="429" t="s">
        <v>3062</v>
      </c>
      <c r="C50" s="487"/>
      <c r="I50" s="433"/>
      <c r="J50" s="433"/>
      <c r="O50" s="424"/>
      <c r="P50" s="424"/>
    </row>
    <row r="51" spans="1:18" ht="15" customHeight="1">
      <c r="A51" s="488"/>
      <c r="B51" s="488"/>
      <c r="C51" s="488"/>
      <c r="D51" s="488"/>
      <c r="E51" s="488"/>
      <c r="F51" s="488"/>
      <c r="G51" s="488"/>
      <c r="H51" s="488"/>
      <c r="I51" s="488"/>
      <c r="J51" s="488"/>
      <c r="K51" s="488"/>
      <c r="L51" s="488"/>
      <c r="M51" s="488"/>
      <c r="N51" s="488"/>
      <c r="O51" s="489"/>
      <c r="P51" s="489"/>
    </row>
    <row r="52" spans="1:18" ht="15" customHeight="1">
      <c r="A52" s="1556" t="s">
        <v>3063</v>
      </c>
      <c r="B52" s="1557"/>
      <c r="C52" s="1557"/>
      <c r="D52" s="1557"/>
      <c r="E52" s="1557"/>
      <c r="F52" s="1557"/>
      <c r="G52" s="1557"/>
      <c r="H52" s="1557"/>
      <c r="I52" s="1557"/>
      <c r="J52" s="1557"/>
      <c r="K52" s="1557"/>
      <c r="L52" s="1557"/>
      <c r="M52" s="1557"/>
      <c r="N52" s="1557"/>
      <c r="O52" s="441"/>
      <c r="P52" s="442"/>
    </row>
    <row r="53" spans="1:18" ht="15" customHeight="1">
      <c r="A53" s="490" t="s">
        <v>2897</v>
      </c>
      <c r="B53" s="491" t="s">
        <v>2979</v>
      </c>
      <c r="C53" s="492" t="s">
        <v>3064</v>
      </c>
      <c r="D53" s="493"/>
      <c r="E53" s="493"/>
      <c r="F53" s="493"/>
      <c r="G53" s="493"/>
      <c r="H53" s="493"/>
      <c r="I53" s="493"/>
      <c r="J53" s="493"/>
      <c r="K53" s="493"/>
      <c r="L53" s="493"/>
      <c r="M53" s="493"/>
      <c r="N53" s="494"/>
      <c r="O53" s="495"/>
      <c r="P53" s="496" t="s">
        <v>28</v>
      </c>
    </row>
    <row r="54" spans="1:18" ht="15" customHeight="1">
      <c r="A54" s="497"/>
      <c r="B54" s="498"/>
      <c r="C54" s="499" t="s">
        <v>3065</v>
      </c>
      <c r="D54" s="500"/>
      <c r="E54" s="500"/>
      <c r="F54" s="500"/>
      <c r="G54" s="500"/>
      <c r="H54" s="500"/>
      <c r="I54" s="500"/>
      <c r="J54" s="500"/>
      <c r="K54" s="500"/>
      <c r="L54" s="501"/>
      <c r="M54" s="500"/>
      <c r="N54" s="502"/>
      <c r="O54" s="489"/>
      <c r="P54" s="503"/>
    </row>
    <row r="55" spans="1:18" ht="8.1" customHeight="1" thickBot="1">
      <c r="A55" s="471"/>
      <c r="B55" s="450"/>
      <c r="O55" s="424"/>
      <c r="P55" s="424"/>
      <c r="Q55" s="433"/>
      <c r="R55" s="433"/>
    </row>
    <row r="56" spans="1:18" s="450" customFormat="1" ht="15" customHeight="1" thickBot="1">
      <c r="A56" s="471"/>
      <c r="F56" s="504" t="s">
        <v>3066</v>
      </c>
      <c r="G56" s="1550" t="s">
        <v>3067</v>
      </c>
      <c r="H56" s="1551"/>
      <c r="I56" s="1551"/>
      <c r="J56" s="1551"/>
      <c r="K56" s="1551"/>
      <c r="L56" s="1551"/>
      <c r="M56" s="1551"/>
      <c r="N56" s="1551"/>
      <c r="O56" s="1551"/>
      <c r="P56" s="1552"/>
      <c r="Q56" s="505"/>
      <c r="R56" s="505"/>
    </row>
    <row r="57" spans="1:18" s="450" customFormat="1" ht="8.1" customHeight="1">
      <c r="A57" s="471"/>
      <c r="F57" s="504"/>
      <c r="G57" s="506"/>
      <c r="H57" s="506"/>
      <c r="I57" s="506"/>
      <c r="J57" s="506"/>
      <c r="K57" s="506"/>
      <c r="L57" s="506"/>
      <c r="M57" s="506"/>
      <c r="N57" s="506"/>
      <c r="O57" s="506"/>
      <c r="P57" s="506"/>
      <c r="Q57" s="505"/>
      <c r="R57" s="505"/>
    </row>
    <row r="58" spans="1:18" ht="15" customHeight="1">
      <c r="A58" s="472" t="s">
        <v>3058</v>
      </c>
      <c r="B58" s="429" t="s">
        <v>3059</v>
      </c>
      <c r="C58" s="487"/>
      <c r="I58" s="433"/>
      <c r="J58" s="433"/>
      <c r="O58" s="424"/>
      <c r="P58" s="424"/>
    </row>
    <row r="59" spans="1:18" ht="15" customHeight="1">
      <c r="A59" s="472"/>
      <c r="B59" s="429" t="s">
        <v>3068</v>
      </c>
      <c r="C59" s="487"/>
      <c r="I59" s="433"/>
      <c r="J59" s="433"/>
      <c r="O59" s="424"/>
      <c r="P59" s="424"/>
    </row>
    <row r="60" spans="1:18" s="429" customFormat="1" ht="15" customHeight="1">
      <c r="B60" s="429" t="s">
        <v>3069</v>
      </c>
      <c r="O60" s="507"/>
      <c r="P60" s="507"/>
    </row>
    <row r="61" spans="1:18" s="429" customFormat="1" ht="15" customHeight="1">
      <c r="B61" s="429" t="s">
        <v>3070</v>
      </c>
      <c r="O61" s="507"/>
      <c r="P61" s="507"/>
    </row>
    <row r="62" spans="1:18" ht="15" customHeight="1">
      <c r="A62" s="508" t="s">
        <v>3061</v>
      </c>
      <c r="B62" s="509" t="s">
        <v>3071</v>
      </c>
    </row>
  </sheetData>
  <mergeCells count="26">
    <mergeCell ref="G56:P56"/>
    <mergeCell ref="B18:F18"/>
    <mergeCell ref="L18:P18"/>
    <mergeCell ref="A20:P20"/>
    <mergeCell ref="A21:A22"/>
    <mergeCell ref="B21:N22"/>
    <mergeCell ref="O21:O22"/>
    <mergeCell ref="P21:P22"/>
    <mergeCell ref="A23:N23"/>
    <mergeCell ref="A27:A28"/>
    <mergeCell ref="A30:A32"/>
    <mergeCell ref="A45:A46"/>
    <mergeCell ref="A52:N52"/>
    <mergeCell ref="B17:F17"/>
    <mergeCell ref="L17:P17"/>
    <mergeCell ref="M1:P1"/>
    <mergeCell ref="A2:C3"/>
    <mergeCell ref="M2:P2"/>
    <mergeCell ref="M3:P4"/>
    <mergeCell ref="M5:P6"/>
    <mergeCell ref="A9:P10"/>
    <mergeCell ref="A12:P12"/>
    <mergeCell ref="B13:P13"/>
    <mergeCell ref="B14:P14"/>
    <mergeCell ref="B15:P15"/>
    <mergeCell ref="B16:F16"/>
  </mergeCells>
  <phoneticPr fontId="139"/>
  <dataValidations count="4">
    <dataValidation type="list" allowBlank="1" showInputMessage="1" showErrorMessage="1" sqref="O44" xr:uid="{00000000-0002-0000-0E00-000000000000}">
      <formula1>$J$22:$J$22</formula1>
    </dataValidation>
    <dataValidation type="list" allowBlank="1" showInputMessage="1" showErrorMessage="1" sqref="P44" xr:uid="{00000000-0002-0000-0E00-000001000000}">
      <formula1>$J$22:$J$24</formula1>
    </dataValidation>
    <dataValidation type="list" allowBlank="1" showInputMessage="1" showErrorMessage="1" sqref="M5" xr:uid="{00000000-0002-0000-0E00-000002000000}">
      <formula1>"　,1,2,3,4,5,6,7,8,9,10,11,12,13,14,15,16,17,18,19,20,21,22,23,24,25,26,27,28,29,30,31"</formula1>
    </dataValidation>
    <dataValidation type="list" allowBlank="1" showInputMessage="1" showErrorMessage="1" sqref="M3" xr:uid="{00000000-0002-0000-0E00-000003000000}">
      <formula1>"　,1,2,3,4,5,6,7,8,9,10,11,12"</formula1>
    </dataValidation>
  </dataValidations>
  <hyperlinks>
    <hyperlink ref="G56" r:id="rId1" xr:uid="{00000000-0004-0000-0E00-000000000000}"/>
  </hyperlinks>
  <pageMargins left="0.78740157480314965" right="0.19685039370078741" top="0.19685039370078741" bottom="0.19685039370078741" header="0" footer="0"/>
  <pageSetup paperSize="9" scale="92" fitToWidth="0"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36865" r:id="rId5" name="Check Box 1">
              <controlPr defaultSize="0" autoFill="0" autoLine="0" autoPict="0" altText="">
                <anchor moveWithCells="1">
                  <from>
                    <xdr:col>14</xdr:col>
                    <xdr:colOff>104775</xdr:colOff>
                    <xdr:row>22</xdr:row>
                    <xdr:rowOff>171450</xdr:rowOff>
                  </from>
                  <to>
                    <xdr:col>14</xdr:col>
                    <xdr:colOff>409575</xdr:colOff>
                    <xdr:row>24</xdr:row>
                    <xdr:rowOff>0</xdr:rowOff>
                  </to>
                </anchor>
              </controlPr>
            </control>
          </mc:Choice>
        </mc:AlternateContent>
        <mc:AlternateContent xmlns:mc="http://schemas.openxmlformats.org/markup-compatibility/2006">
          <mc:Choice Requires="x14">
            <control shapeId="36866" r:id="rId6" name="Check Box 2">
              <controlPr defaultSize="0" autoFill="0" autoLine="0" autoPict="0" altText="">
                <anchor moveWithCells="1">
                  <from>
                    <xdr:col>14</xdr:col>
                    <xdr:colOff>104775</xdr:colOff>
                    <xdr:row>23</xdr:row>
                    <xdr:rowOff>171450</xdr:rowOff>
                  </from>
                  <to>
                    <xdr:col>14</xdr:col>
                    <xdr:colOff>409575</xdr:colOff>
                    <xdr:row>25</xdr:row>
                    <xdr:rowOff>0</xdr:rowOff>
                  </to>
                </anchor>
              </controlPr>
            </control>
          </mc:Choice>
        </mc:AlternateContent>
        <mc:AlternateContent xmlns:mc="http://schemas.openxmlformats.org/markup-compatibility/2006">
          <mc:Choice Requires="x14">
            <control shapeId="36867" r:id="rId7" name="Check Box 3">
              <controlPr defaultSize="0" autoFill="0" autoLine="0" autoPict="0" altText="">
                <anchor moveWithCells="1">
                  <from>
                    <xdr:col>14</xdr:col>
                    <xdr:colOff>104775</xdr:colOff>
                    <xdr:row>24</xdr:row>
                    <xdr:rowOff>171450</xdr:rowOff>
                  </from>
                  <to>
                    <xdr:col>14</xdr:col>
                    <xdr:colOff>409575</xdr:colOff>
                    <xdr:row>26</xdr:row>
                    <xdr:rowOff>0</xdr:rowOff>
                  </to>
                </anchor>
              </controlPr>
            </control>
          </mc:Choice>
        </mc:AlternateContent>
        <mc:AlternateContent xmlns:mc="http://schemas.openxmlformats.org/markup-compatibility/2006">
          <mc:Choice Requires="x14">
            <control shapeId="36868" r:id="rId8" name="Check Box 4">
              <controlPr defaultSize="0" autoFill="0" autoLine="0" autoPict="0" altText="">
                <anchor moveWithCells="1">
                  <from>
                    <xdr:col>14</xdr:col>
                    <xdr:colOff>104775</xdr:colOff>
                    <xdr:row>26</xdr:row>
                    <xdr:rowOff>171450</xdr:rowOff>
                  </from>
                  <to>
                    <xdr:col>14</xdr:col>
                    <xdr:colOff>409575</xdr:colOff>
                    <xdr:row>28</xdr:row>
                    <xdr:rowOff>0</xdr:rowOff>
                  </to>
                </anchor>
              </controlPr>
            </control>
          </mc:Choice>
        </mc:AlternateContent>
        <mc:AlternateContent xmlns:mc="http://schemas.openxmlformats.org/markup-compatibility/2006">
          <mc:Choice Requires="x14">
            <control shapeId="36869" r:id="rId9" name="Check Box 5">
              <controlPr defaultSize="0" autoFill="0" autoLine="0" autoPict="0" altText="">
                <anchor moveWithCells="1">
                  <from>
                    <xdr:col>14</xdr:col>
                    <xdr:colOff>104775</xdr:colOff>
                    <xdr:row>27</xdr:row>
                    <xdr:rowOff>171450</xdr:rowOff>
                  </from>
                  <to>
                    <xdr:col>14</xdr:col>
                    <xdr:colOff>409575</xdr:colOff>
                    <xdr:row>29</xdr:row>
                    <xdr:rowOff>0</xdr:rowOff>
                  </to>
                </anchor>
              </controlPr>
            </control>
          </mc:Choice>
        </mc:AlternateContent>
        <mc:AlternateContent xmlns:mc="http://schemas.openxmlformats.org/markup-compatibility/2006">
          <mc:Choice Requires="x14">
            <control shapeId="36870" r:id="rId10" name="Check Box 6">
              <controlPr defaultSize="0" autoFill="0" autoLine="0" autoPict="0" altText="">
                <anchor moveWithCells="1">
                  <from>
                    <xdr:col>14</xdr:col>
                    <xdr:colOff>104775</xdr:colOff>
                    <xdr:row>28</xdr:row>
                    <xdr:rowOff>171450</xdr:rowOff>
                  </from>
                  <to>
                    <xdr:col>14</xdr:col>
                    <xdr:colOff>409575</xdr:colOff>
                    <xdr:row>30</xdr:row>
                    <xdr:rowOff>0</xdr:rowOff>
                  </to>
                </anchor>
              </controlPr>
            </control>
          </mc:Choice>
        </mc:AlternateContent>
        <mc:AlternateContent xmlns:mc="http://schemas.openxmlformats.org/markup-compatibility/2006">
          <mc:Choice Requires="x14">
            <control shapeId="36871" r:id="rId11" name="Check Box 7">
              <controlPr defaultSize="0" autoFill="0" autoLine="0" autoPict="0" altText="">
                <anchor moveWithCells="1">
                  <from>
                    <xdr:col>14</xdr:col>
                    <xdr:colOff>104775</xdr:colOff>
                    <xdr:row>30</xdr:row>
                    <xdr:rowOff>0</xdr:rowOff>
                  </from>
                  <to>
                    <xdr:col>14</xdr:col>
                    <xdr:colOff>409575</xdr:colOff>
                    <xdr:row>31</xdr:row>
                    <xdr:rowOff>19050</xdr:rowOff>
                  </to>
                </anchor>
              </controlPr>
            </control>
          </mc:Choice>
        </mc:AlternateContent>
        <mc:AlternateContent xmlns:mc="http://schemas.openxmlformats.org/markup-compatibility/2006">
          <mc:Choice Requires="x14">
            <control shapeId="36872" r:id="rId12" name="Check Box 8">
              <controlPr defaultSize="0" autoFill="0" autoLine="0" autoPict="0" altText="">
                <anchor moveWithCells="1">
                  <from>
                    <xdr:col>14</xdr:col>
                    <xdr:colOff>104775</xdr:colOff>
                    <xdr:row>31</xdr:row>
                    <xdr:rowOff>0</xdr:rowOff>
                  </from>
                  <to>
                    <xdr:col>14</xdr:col>
                    <xdr:colOff>409575</xdr:colOff>
                    <xdr:row>32</xdr:row>
                    <xdr:rowOff>19050</xdr:rowOff>
                  </to>
                </anchor>
              </controlPr>
            </control>
          </mc:Choice>
        </mc:AlternateContent>
        <mc:AlternateContent xmlns:mc="http://schemas.openxmlformats.org/markup-compatibility/2006">
          <mc:Choice Requires="x14">
            <control shapeId="36873" r:id="rId13" name="Check Box 9">
              <controlPr defaultSize="0" autoFill="0" autoLine="0" autoPict="0" altText="">
                <anchor moveWithCells="1">
                  <from>
                    <xdr:col>14</xdr:col>
                    <xdr:colOff>104775</xdr:colOff>
                    <xdr:row>32</xdr:row>
                    <xdr:rowOff>0</xdr:rowOff>
                  </from>
                  <to>
                    <xdr:col>14</xdr:col>
                    <xdr:colOff>409575</xdr:colOff>
                    <xdr:row>33</xdr:row>
                    <xdr:rowOff>19050</xdr:rowOff>
                  </to>
                </anchor>
              </controlPr>
            </control>
          </mc:Choice>
        </mc:AlternateContent>
        <mc:AlternateContent xmlns:mc="http://schemas.openxmlformats.org/markup-compatibility/2006">
          <mc:Choice Requires="x14">
            <control shapeId="36874" r:id="rId14" name="Check Box 10">
              <controlPr defaultSize="0" autoFill="0" autoLine="0" autoPict="0" altText="">
                <anchor moveWithCells="1">
                  <from>
                    <xdr:col>14</xdr:col>
                    <xdr:colOff>104775</xdr:colOff>
                    <xdr:row>32</xdr:row>
                    <xdr:rowOff>180975</xdr:rowOff>
                  </from>
                  <to>
                    <xdr:col>14</xdr:col>
                    <xdr:colOff>409575</xdr:colOff>
                    <xdr:row>34</xdr:row>
                    <xdr:rowOff>9525</xdr:rowOff>
                  </to>
                </anchor>
              </controlPr>
            </control>
          </mc:Choice>
        </mc:AlternateContent>
        <mc:AlternateContent xmlns:mc="http://schemas.openxmlformats.org/markup-compatibility/2006">
          <mc:Choice Requires="x14">
            <control shapeId="36875" r:id="rId15" name="Check Box 11">
              <controlPr defaultSize="0" autoFill="0" autoLine="0" autoPict="0" altText="">
                <anchor moveWithCells="1">
                  <from>
                    <xdr:col>14</xdr:col>
                    <xdr:colOff>104775</xdr:colOff>
                    <xdr:row>33</xdr:row>
                    <xdr:rowOff>180975</xdr:rowOff>
                  </from>
                  <to>
                    <xdr:col>14</xdr:col>
                    <xdr:colOff>409575</xdr:colOff>
                    <xdr:row>35</xdr:row>
                    <xdr:rowOff>9525</xdr:rowOff>
                  </to>
                </anchor>
              </controlPr>
            </control>
          </mc:Choice>
        </mc:AlternateContent>
        <mc:AlternateContent xmlns:mc="http://schemas.openxmlformats.org/markup-compatibility/2006">
          <mc:Choice Requires="x14">
            <control shapeId="36876" r:id="rId16" name="Check Box 12">
              <controlPr defaultSize="0" autoFill="0" autoLine="0" autoPict="0" altText="">
                <anchor moveWithCells="1">
                  <from>
                    <xdr:col>14</xdr:col>
                    <xdr:colOff>104775</xdr:colOff>
                    <xdr:row>35</xdr:row>
                    <xdr:rowOff>38100</xdr:rowOff>
                  </from>
                  <to>
                    <xdr:col>14</xdr:col>
                    <xdr:colOff>409575</xdr:colOff>
                    <xdr:row>36</xdr:row>
                    <xdr:rowOff>57150</xdr:rowOff>
                  </to>
                </anchor>
              </controlPr>
            </control>
          </mc:Choice>
        </mc:AlternateContent>
        <mc:AlternateContent xmlns:mc="http://schemas.openxmlformats.org/markup-compatibility/2006">
          <mc:Choice Requires="x14">
            <control shapeId="36877" r:id="rId17" name="Check Box 13">
              <controlPr defaultSize="0" autoFill="0" autoLine="0" autoPict="0" altText="">
                <anchor moveWithCells="1">
                  <from>
                    <xdr:col>14</xdr:col>
                    <xdr:colOff>104775</xdr:colOff>
                    <xdr:row>36</xdr:row>
                    <xdr:rowOff>0</xdr:rowOff>
                  </from>
                  <to>
                    <xdr:col>14</xdr:col>
                    <xdr:colOff>409575</xdr:colOff>
                    <xdr:row>37</xdr:row>
                    <xdr:rowOff>19050</xdr:rowOff>
                  </to>
                </anchor>
              </controlPr>
            </control>
          </mc:Choice>
        </mc:AlternateContent>
        <mc:AlternateContent xmlns:mc="http://schemas.openxmlformats.org/markup-compatibility/2006">
          <mc:Choice Requires="x14">
            <control shapeId="36878" r:id="rId18" name="Check Box 14">
              <controlPr defaultSize="0" autoFill="0" autoLine="0" autoPict="0" altText="">
                <anchor moveWithCells="1">
                  <from>
                    <xdr:col>14</xdr:col>
                    <xdr:colOff>104775</xdr:colOff>
                    <xdr:row>36</xdr:row>
                    <xdr:rowOff>171450</xdr:rowOff>
                  </from>
                  <to>
                    <xdr:col>14</xdr:col>
                    <xdr:colOff>409575</xdr:colOff>
                    <xdr:row>38</xdr:row>
                    <xdr:rowOff>0</xdr:rowOff>
                  </to>
                </anchor>
              </controlPr>
            </control>
          </mc:Choice>
        </mc:AlternateContent>
        <mc:AlternateContent xmlns:mc="http://schemas.openxmlformats.org/markup-compatibility/2006">
          <mc:Choice Requires="x14">
            <control shapeId="36879" r:id="rId19" name="Check Box 15">
              <controlPr defaultSize="0" autoFill="0" autoLine="0" autoPict="0" altText="">
                <anchor moveWithCells="1">
                  <from>
                    <xdr:col>14</xdr:col>
                    <xdr:colOff>114300</xdr:colOff>
                    <xdr:row>37</xdr:row>
                    <xdr:rowOff>171450</xdr:rowOff>
                  </from>
                  <to>
                    <xdr:col>14</xdr:col>
                    <xdr:colOff>419100</xdr:colOff>
                    <xdr:row>39</xdr:row>
                    <xdr:rowOff>0</xdr:rowOff>
                  </to>
                </anchor>
              </controlPr>
            </control>
          </mc:Choice>
        </mc:AlternateContent>
        <mc:AlternateContent xmlns:mc="http://schemas.openxmlformats.org/markup-compatibility/2006">
          <mc:Choice Requires="x14">
            <control shapeId="36880" r:id="rId20" name="Check Box 16">
              <controlPr defaultSize="0" autoFill="0" autoLine="0" autoPict="0" altText="">
                <anchor moveWithCells="1">
                  <from>
                    <xdr:col>14</xdr:col>
                    <xdr:colOff>114300</xdr:colOff>
                    <xdr:row>38</xdr:row>
                    <xdr:rowOff>171450</xdr:rowOff>
                  </from>
                  <to>
                    <xdr:col>14</xdr:col>
                    <xdr:colOff>419100</xdr:colOff>
                    <xdr:row>40</xdr:row>
                    <xdr:rowOff>0</xdr:rowOff>
                  </to>
                </anchor>
              </controlPr>
            </control>
          </mc:Choice>
        </mc:AlternateContent>
        <mc:AlternateContent xmlns:mc="http://schemas.openxmlformats.org/markup-compatibility/2006">
          <mc:Choice Requires="x14">
            <control shapeId="36881" r:id="rId21" name="Check Box 17">
              <controlPr defaultSize="0" autoFill="0" autoLine="0" autoPict="0" altText="">
                <anchor moveWithCells="1">
                  <from>
                    <xdr:col>14</xdr:col>
                    <xdr:colOff>114300</xdr:colOff>
                    <xdr:row>39</xdr:row>
                    <xdr:rowOff>171450</xdr:rowOff>
                  </from>
                  <to>
                    <xdr:col>14</xdr:col>
                    <xdr:colOff>419100</xdr:colOff>
                    <xdr:row>41</xdr:row>
                    <xdr:rowOff>0</xdr:rowOff>
                  </to>
                </anchor>
              </controlPr>
            </control>
          </mc:Choice>
        </mc:AlternateContent>
        <mc:AlternateContent xmlns:mc="http://schemas.openxmlformats.org/markup-compatibility/2006">
          <mc:Choice Requires="x14">
            <control shapeId="36882" r:id="rId22" name="Check Box 18">
              <controlPr defaultSize="0" autoFill="0" autoLine="0" autoPict="0" altText="">
                <anchor moveWithCells="1">
                  <from>
                    <xdr:col>14</xdr:col>
                    <xdr:colOff>104775</xdr:colOff>
                    <xdr:row>40</xdr:row>
                    <xdr:rowOff>180975</xdr:rowOff>
                  </from>
                  <to>
                    <xdr:col>14</xdr:col>
                    <xdr:colOff>409575</xdr:colOff>
                    <xdr:row>42</xdr:row>
                    <xdr:rowOff>9525</xdr:rowOff>
                  </to>
                </anchor>
              </controlPr>
            </control>
          </mc:Choice>
        </mc:AlternateContent>
        <mc:AlternateContent xmlns:mc="http://schemas.openxmlformats.org/markup-compatibility/2006">
          <mc:Choice Requires="x14">
            <control shapeId="36883" r:id="rId23" name="Check Box 19">
              <controlPr defaultSize="0" autoFill="0" autoLine="0" autoPict="0" altText="">
                <anchor moveWithCells="1">
                  <from>
                    <xdr:col>14</xdr:col>
                    <xdr:colOff>104775</xdr:colOff>
                    <xdr:row>41</xdr:row>
                    <xdr:rowOff>171450</xdr:rowOff>
                  </from>
                  <to>
                    <xdr:col>14</xdr:col>
                    <xdr:colOff>409575</xdr:colOff>
                    <xdr:row>43</xdr:row>
                    <xdr:rowOff>0</xdr:rowOff>
                  </to>
                </anchor>
              </controlPr>
            </control>
          </mc:Choice>
        </mc:AlternateContent>
        <mc:AlternateContent xmlns:mc="http://schemas.openxmlformats.org/markup-compatibility/2006">
          <mc:Choice Requires="x14">
            <control shapeId="36884" r:id="rId24" name="Check Box 20">
              <controlPr defaultSize="0" autoFill="0" autoLine="0" autoPict="0" altText="">
                <anchor moveWithCells="1">
                  <from>
                    <xdr:col>14</xdr:col>
                    <xdr:colOff>104775</xdr:colOff>
                    <xdr:row>43</xdr:row>
                    <xdr:rowOff>38100</xdr:rowOff>
                  </from>
                  <to>
                    <xdr:col>14</xdr:col>
                    <xdr:colOff>409575</xdr:colOff>
                    <xdr:row>45</xdr:row>
                    <xdr:rowOff>0</xdr:rowOff>
                  </to>
                </anchor>
              </controlPr>
            </control>
          </mc:Choice>
        </mc:AlternateContent>
        <mc:AlternateContent xmlns:mc="http://schemas.openxmlformats.org/markup-compatibility/2006">
          <mc:Choice Requires="x14">
            <control shapeId="36885" r:id="rId25" name="Check Box 21">
              <controlPr defaultSize="0" autoFill="0" autoLine="0" autoPict="0" altText="">
                <anchor moveWithCells="1">
                  <from>
                    <xdr:col>14</xdr:col>
                    <xdr:colOff>104775</xdr:colOff>
                    <xdr:row>44</xdr:row>
                    <xdr:rowOff>171450</xdr:rowOff>
                  </from>
                  <to>
                    <xdr:col>14</xdr:col>
                    <xdr:colOff>409575</xdr:colOff>
                    <xdr:row>45</xdr:row>
                    <xdr:rowOff>180975</xdr:rowOff>
                  </to>
                </anchor>
              </controlPr>
            </control>
          </mc:Choice>
        </mc:AlternateContent>
        <mc:AlternateContent xmlns:mc="http://schemas.openxmlformats.org/markup-compatibility/2006">
          <mc:Choice Requires="x14">
            <control shapeId="36886" r:id="rId26" name="Check Box 22">
              <controlPr defaultSize="0" autoFill="0" autoLine="0" autoPict="0" altText="">
                <anchor moveWithCells="1">
                  <from>
                    <xdr:col>14</xdr:col>
                    <xdr:colOff>76200</xdr:colOff>
                    <xdr:row>52</xdr:row>
                    <xdr:rowOff>0</xdr:rowOff>
                  </from>
                  <to>
                    <xdr:col>14</xdr:col>
                    <xdr:colOff>381000</xdr:colOff>
                    <xdr:row>53</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5117038483843"/>
    <pageSetUpPr fitToPage="1"/>
  </sheetPr>
  <dimension ref="A1:P51"/>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24">
        <v>20190401</v>
      </c>
      <c r="N1" s="1524"/>
      <c r="O1" s="1524"/>
      <c r="P1" s="1524"/>
    </row>
    <row r="2" spans="1:16" ht="24.95" customHeight="1">
      <c r="A2" s="1525" t="s">
        <v>3032</v>
      </c>
      <c r="B2" s="1526"/>
      <c r="C2" s="1527"/>
      <c r="D2" s="425" t="s">
        <v>3072</v>
      </c>
      <c r="E2" s="426"/>
      <c r="F2" s="426"/>
      <c r="G2" s="426"/>
      <c r="H2" s="426"/>
      <c r="I2" s="426"/>
      <c r="J2" s="427"/>
      <c r="M2" s="1563" t="s">
        <v>3073</v>
      </c>
      <c r="N2" s="1564"/>
      <c r="O2" s="1564"/>
      <c r="P2" s="1565"/>
    </row>
    <row r="3" spans="1:16" ht="24.95" customHeight="1">
      <c r="A3" s="1528"/>
      <c r="B3" s="1529"/>
      <c r="C3" s="1530"/>
      <c r="D3" s="425" t="s">
        <v>3035</v>
      </c>
      <c r="E3" s="426"/>
      <c r="F3" s="426"/>
      <c r="G3" s="426"/>
      <c r="H3" s="426"/>
      <c r="I3" s="426"/>
      <c r="J3" s="427"/>
      <c r="M3" s="1534" t="s">
        <v>376</v>
      </c>
      <c r="N3" s="1535"/>
      <c r="O3" s="1535"/>
      <c r="P3" s="1536"/>
    </row>
    <row r="4" spans="1:16" ht="24.95" customHeight="1">
      <c r="A4" s="425" t="s">
        <v>3036</v>
      </c>
      <c r="B4" s="428"/>
      <c r="C4" s="428"/>
      <c r="D4" s="428"/>
      <c r="E4" s="426"/>
      <c r="F4" s="426"/>
      <c r="G4" s="426"/>
      <c r="H4" s="426"/>
      <c r="I4" s="426"/>
      <c r="J4" s="427"/>
      <c r="M4" s="1534"/>
      <c r="N4" s="1535"/>
      <c r="O4" s="1535"/>
      <c r="P4" s="1536"/>
    </row>
    <row r="5" spans="1:16" ht="24.95" customHeight="1">
      <c r="A5" s="425" t="s">
        <v>3037</v>
      </c>
      <c r="B5" s="428"/>
      <c r="C5" s="428"/>
      <c r="D5" s="428"/>
      <c r="E5" s="426"/>
      <c r="F5" s="426"/>
      <c r="G5" s="426"/>
      <c r="H5" s="426"/>
      <c r="I5" s="426"/>
      <c r="J5" s="427"/>
      <c r="M5" s="1537" t="s">
        <v>376</v>
      </c>
      <c r="N5" s="1538"/>
      <c r="O5" s="1538"/>
      <c r="P5" s="1539"/>
    </row>
    <row r="6" spans="1:16" ht="24.95" customHeight="1">
      <c r="A6" s="425" t="s">
        <v>3037</v>
      </c>
      <c r="B6" s="428"/>
      <c r="C6" s="428"/>
      <c r="D6" s="428"/>
      <c r="E6" s="426"/>
      <c r="F6" s="426"/>
      <c r="G6" s="426"/>
      <c r="H6" s="426"/>
      <c r="I6" s="426"/>
      <c r="J6" s="427"/>
      <c r="M6" s="1540"/>
      <c r="N6" s="1541"/>
      <c r="O6" s="1541"/>
      <c r="P6" s="1542"/>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543" t="s">
        <v>2803</v>
      </c>
      <c r="B9" s="1544"/>
      <c r="C9" s="1544"/>
      <c r="D9" s="1544"/>
      <c r="E9" s="1544"/>
      <c r="F9" s="1544"/>
      <c r="G9" s="1544"/>
      <c r="H9" s="1544"/>
      <c r="I9" s="1544"/>
      <c r="J9" s="1544"/>
      <c r="K9" s="1544"/>
      <c r="L9" s="1544"/>
      <c r="M9" s="1544"/>
      <c r="N9" s="1544"/>
      <c r="O9" s="1544"/>
      <c r="P9" s="1544"/>
    </row>
    <row r="10" spans="1:16" ht="15.75">
      <c r="A10" s="1544"/>
      <c r="B10" s="1544"/>
      <c r="C10" s="1544"/>
      <c r="D10" s="1544"/>
      <c r="E10" s="1544"/>
      <c r="F10" s="1544"/>
      <c r="G10" s="1544"/>
      <c r="H10" s="1544"/>
      <c r="I10" s="1544"/>
      <c r="J10" s="1544"/>
      <c r="K10" s="1544"/>
      <c r="L10" s="1544"/>
      <c r="M10" s="1544"/>
      <c r="N10" s="1544"/>
      <c r="O10" s="1544"/>
      <c r="P10" s="1544"/>
    </row>
    <row r="11" spans="1:16" ht="9.9499999999999993" customHeight="1">
      <c r="A11" s="432"/>
      <c r="B11" s="432"/>
      <c r="C11" s="432"/>
      <c r="D11" s="432"/>
      <c r="E11" s="432"/>
      <c r="F11" s="432"/>
      <c r="G11" s="432"/>
      <c r="H11" s="432"/>
      <c r="I11" s="432"/>
      <c r="J11" s="432"/>
      <c r="K11" s="432"/>
      <c r="L11" s="432"/>
      <c r="M11" s="432"/>
      <c r="N11" s="432"/>
      <c r="O11" s="432"/>
      <c r="P11" s="432"/>
    </row>
    <row r="12" spans="1:16">
      <c r="A12" s="1545" t="s">
        <v>3040</v>
      </c>
      <c r="B12" s="1546"/>
      <c r="C12" s="1546"/>
      <c r="D12" s="1546"/>
      <c r="E12" s="1546"/>
      <c r="F12" s="1546"/>
      <c r="G12" s="1546"/>
      <c r="H12" s="1546"/>
      <c r="I12" s="1546"/>
      <c r="J12" s="1546"/>
      <c r="K12" s="1546"/>
      <c r="L12" s="1546"/>
      <c r="M12" s="1546"/>
      <c r="N12" s="1546"/>
      <c r="O12" s="1546"/>
      <c r="P12" s="1547"/>
    </row>
    <row r="13" spans="1:16" ht="24.95" customHeight="1">
      <c r="A13" s="433" t="s">
        <v>3041</v>
      </c>
      <c r="B13" s="1548" t="str">
        <f>cst_wskakunin_BUILD__address</f>
        <v/>
      </c>
      <c r="C13" s="1548"/>
      <c r="D13" s="1548"/>
      <c r="E13" s="1548"/>
      <c r="F13" s="1548"/>
      <c r="G13" s="1548"/>
      <c r="H13" s="1548"/>
      <c r="I13" s="1548"/>
      <c r="J13" s="1548"/>
      <c r="K13" s="1548"/>
      <c r="L13" s="1548"/>
      <c r="M13" s="1548"/>
      <c r="N13" s="1548"/>
      <c r="O13" s="1548"/>
      <c r="P13" s="1548"/>
    </row>
    <row r="14" spans="1:16" ht="24.95" customHeight="1">
      <c r="A14" s="433" t="s">
        <v>3042</v>
      </c>
      <c r="B14" s="1548" t="str">
        <f>cst_wskakunin_owner1__space&amp;" "&amp;cst_wskakunin_owner2__space&amp;" "&amp;cst_wskakunin_owner3__space&amp;" "&amp;cst_wskakunin_owner4__space</f>
        <v xml:space="preserve">   </v>
      </c>
      <c r="C14" s="1548"/>
      <c r="D14" s="1548"/>
      <c r="E14" s="1548"/>
      <c r="F14" s="1548"/>
      <c r="G14" s="1548"/>
      <c r="H14" s="1548"/>
      <c r="I14" s="1548"/>
      <c r="J14" s="1548"/>
      <c r="K14" s="1548"/>
      <c r="L14" s="1548"/>
      <c r="M14" s="1548"/>
      <c r="N14" s="1548"/>
      <c r="O14" s="1548"/>
      <c r="P14" s="1548"/>
    </row>
    <row r="15" spans="1:16" ht="24.95" customHeight="1">
      <c r="A15" s="433" t="s">
        <v>3043</v>
      </c>
      <c r="B15" s="1549" t="str">
        <f>IF(目次・入力シート!BJ11="","「目次･入力シート」に入力してください",目次・入力シート!BJ11)</f>
        <v>「目次･入力シート」に入力してください</v>
      </c>
      <c r="C15" s="1549"/>
      <c r="D15" s="1549"/>
      <c r="E15" s="1549"/>
      <c r="F15" s="1549"/>
      <c r="G15" s="1549"/>
      <c r="H15" s="1549"/>
      <c r="I15" s="1549"/>
      <c r="J15" s="1549"/>
      <c r="K15" s="1549"/>
      <c r="L15" s="1549"/>
      <c r="M15" s="1549"/>
      <c r="N15" s="1549"/>
      <c r="O15" s="1549"/>
      <c r="P15" s="1549"/>
    </row>
    <row r="16" spans="1:16" ht="24.95" customHeight="1">
      <c r="A16" s="433" t="s">
        <v>3044</v>
      </c>
      <c r="B16" s="1523" t="str">
        <f>IF(目次・入力シート!BJ13="","「目次･入力シート」に入力してください",目次・入力シート!BJ13)</f>
        <v>「目次･入力シート」に入力してください</v>
      </c>
      <c r="C16" s="1523"/>
      <c r="D16" s="1523"/>
      <c r="E16" s="1523"/>
      <c r="F16" s="1523"/>
      <c r="G16" s="434"/>
      <c r="H16" s="434"/>
      <c r="I16" s="434"/>
      <c r="J16" s="434"/>
      <c r="K16" s="435"/>
      <c r="L16" s="435"/>
      <c r="M16" s="435"/>
      <c r="N16" s="435"/>
      <c r="O16" s="435"/>
      <c r="P16" s="435"/>
    </row>
    <row r="17" spans="1:16" ht="24.95" customHeight="1">
      <c r="A17" s="433" t="s">
        <v>3045</v>
      </c>
      <c r="B17" s="1523" t="str">
        <f>IF(目次・入力シート!BJ15="","「目次･入力シート」に入力してください",目次・入力シート!BJ15)</f>
        <v>「目次･入力シート」に入力してください</v>
      </c>
      <c r="C17" s="1523"/>
      <c r="D17" s="1523"/>
      <c r="E17" s="1523"/>
      <c r="F17" s="1523"/>
      <c r="G17" s="434"/>
      <c r="H17" s="434"/>
      <c r="J17" s="434"/>
      <c r="K17" s="435" t="s">
        <v>3046</v>
      </c>
      <c r="L17" s="1523" t="str">
        <f>IF(目次・入力シート!BJ19="","「目次･入力シート」に入力してください",目次・入力シート!BJ19)</f>
        <v>「目次･入力シート」に入力してください</v>
      </c>
      <c r="M17" s="1523"/>
      <c r="N17" s="1523"/>
      <c r="O17" s="1523"/>
      <c r="P17" s="1523"/>
    </row>
    <row r="18" spans="1:16" ht="24.95" customHeight="1">
      <c r="A18" s="433" t="s">
        <v>3047</v>
      </c>
      <c r="B18" s="1523" t="str">
        <f>IF(目次・入力シート!BJ17="","「目次･入力シート」に入力してください",目次・入力シート!BJ17)</f>
        <v>「目次･入力シート」に入力してください</v>
      </c>
      <c r="C18" s="1523"/>
      <c r="D18" s="1523"/>
      <c r="E18" s="1523"/>
      <c r="F18" s="1523"/>
      <c r="G18" s="434"/>
      <c r="H18" s="434"/>
      <c r="I18" s="435"/>
      <c r="J18" s="434"/>
      <c r="K18" s="435" t="s">
        <v>3048</v>
      </c>
      <c r="L18" s="1523" t="str">
        <f>IF(目次・入力シート!BJ21="","「目次･入力シート」に入力してください",目次・入力シート!BJ21)</f>
        <v>「目次･入力シート」に入力してください</v>
      </c>
      <c r="M18" s="1523"/>
      <c r="N18" s="1523"/>
      <c r="O18" s="1523"/>
      <c r="P18" s="1523"/>
    </row>
    <row r="19" spans="1:16" s="440" customFormat="1" ht="9.9499999999999993" customHeight="1">
      <c r="A19" s="436"/>
      <c r="B19" s="437"/>
      <c r="C19" s="437"/>
      <c r="D19" s="437"/>
      <c r="E19" s="437"/>
      <c r="F19" s="437"/>
      <c r="G19" s="438"/>
      <c r="H19" s="438"/>
      <c r="I19" s="439"/>
      <c r="J19" s="438"/>
      <c r="K19" s="439"/>
    </row>
    <row r="20" spans="1:16">
      <c r="A20" s="1553" t="s">
        <v>3049</v>
      </c>
      <c r="B20" s="1553"/>
      <c r="C20" s="1553"/>
      <c r="D20" s="1553"/>
      <c r="E20" s="1553"/>
      <c r="F20" s="1553"/>
      <c r="G20" s="1553"/>
      <c r="H20" s="1553"/>
      <c r="I20" s="1553"/>
      <c r="J20" s="1553"/>
      <c r="K20" s="1553"/>
      <c r="L20" s="1553"/>
      <c r="M20" s="1553"/>
      <c r="N20" s="1553"/>
      <c r="O20" s="1553"/>
      <c r="P20" s="1553"/>
    </row>
    <row r="21" spans="1:16" ht="12" customHeight="1">
      <c r="A21" s="1554" t="s">
        <v>2887</v>
      </c>
      <c r="B21" s="1554" t="s">
        <v>2888</v>
      </c>
      <c r="C21" s="1554"/>
      <c r="D21" s="1554"/>
      <c r="E21" s="1554"/>
      <c r="F21" s="1554"/>
      <c r="G21" s="1554"/>
      <c r="H21" s="1554"/>
      <c r="I21" s="1554"/>
      <c r="J21" s="1554"/>
      <c r="K21" s="1554"/>
      <c r="L21" s="1554"/>
      <c r="M21" s="1554"/>
      <c r="N21" s="1554"/>
      <c r="O21" s="1555" t="s">
        <v>3050</v>
      </c>
      <c r="P21" s="1555" t="s">
        <v>3051</v>
      </c>
    </row>
    <row r="22" spans="1:16" ht="12" customHeight="1">
      <c r="A22" s="1554"/>
      <c r="B22" s="1554"/>
      <c r="C22" s="1554"/>
      <c r="D22" s="1554"/>
      <c r="E22" s="1554"/>
      <c r="F22" s="1554"/>
      <c r="G22" s="1554"/>
      <c r="H22" s="1554"/>
      <c r="I22" s="1554"/>
      <c r="J22" s="1554"/>
      <c r="K22" s="1554"/>
      <c r="L22" s="1554"/>
      <c r="M22" s="1554"/>
      <c r="N22" s="1554"/>
      <c r="O22" s="1555"/>
      <c r="P22" s="1555"/>
    </row>
    <row r="23" spans="1:16" s="450" customFormat="1" ht="17.100000000000001" customHeight="1">
      <c r="A23" s="510" t="s">
        <v>2891</v>
      </c>
      <c r="B23" s="511" t="s">
        <v>2953</v>
      </c>
      <c r="C23" s="512"/>
      <c r="D23" s="512"/>
      <c r="E23" s="512"/>
      <c r="F23" s="512"/>
      <c r="G23" s="512"/>
      <c r="H23" s="512"/>
      <c r="I23" s="512"/>
      <c r="J23" s="513"/>
      <c r="K23" s="514"/>
      <c r="L23" s="512"/>
      <c r="M23" s="512"/>
      <c r="N23" s="512"/>
      <c r="O23" s="448"/>
      <c r="P23" s="449" t="s">
        <v>28</v>
      </c>
    </row>
    <row r="24" spans="1:16" s="450" customFormat="1" ht="17.100000000000001" customHeight="1">
      <c r="A24" s="1566" t="s">
        <v>2904</v>
      </c>
      <c r="B24" s="515" t="s">
        <v>2905</v>
      </c>
      <c r="C24" s="516"/>
      <c r="D24" s="516"/>
      <c r="E24" s="516"/>
      <c r="F24" s="516"/>
      <c r="G24" s="516"/>
      <c r="H24" s="516"/>
      <c r="I24" s="516"/>
      <c r="J24" s="516"/>
      <c r="K24" s="517"/>
      <c r="L24" s="516"/>
      <c r="M24" s="516"/>
      <c r="N24" s="516"/>
      <c r="O24" s="455"/>
      <c r="P24" s="455"/>
    </row>
    <row r="25" spans="1:16" s="450" customFormat="1" ht="17.100000000000001" customHeight="1">
      <c r="A25" s="1566"/>
      <c r="B25" s="518" t="s">
        <v>2907</v>
      </c>
      <c r="C25" s="519"/>
      <c r="D25" s="519"/>
      <c r="E25" s="519"/>
      <c r="F25" s="519"/>
      <c r="G25" s="519"/>
      <c r="H25" s="519"/>
      <c r="I25" s="519"/>
      <c r="J25" s="519"/>
      <c r="K25" s="520" t="s">
        <v>2908</v>
      </c>
      <c r="L25" s="521"/>
      <c r="M25" s="519"/>
      <c r="N25" s="519"/>
      <c r="O25" s="460"/>
      <c r="P25" s="461" t="s">
        <v>28</v>
      </c>
    </row>
    <row r="26" spans="1:16" s="450" customFormat="1" ht="17.100000000000001" customHeight="1">
      <c r="A26" s="522" t="s">
        <v>2910</v>
      </c>
      <c r="B26" s="518" t="s">
        <v>2911</v>
      </c>
      <c r="C26" s="519"/>
      <c r="D26" s="519"/>
      <c r="E26" s="519"/>
      <c r="F26" s="519"/>
      <c r="G26" s="519"/>
      <c r="H26" s="519"/>
      <c r="I26" s="519"/>
      <c r="J26" s="519"/>
      <c r="K26" s="520"/>
      <c r="L26" s="519"/>
      <c r="M26" s="519"/>
      <c r="N26" s="519"/>
      <c r="O26" s="460"/>
      <c r="P26" s="461" t="s">
        <v>28</v>
      </c>
    </row>
    <row r="27" spans="1:16" s="450" customFormat="1" ht="17.100000000000001" customHeight="1">
      <c r="A27" s="1560" t="s">
        <v>2913</v>
      </c>
      <c r="B27" s="518" t="s">
        <v>2914</v>
      </c>
      <c r="C27" s="519"/>
      <c r="D27" s="519"/>
      <c r="E27" s="519"/>
      <c r="F27" s="519"/>
      <c r="G27" s="519"/>
      <c r="H27" s="519"/>
      <c r="I27" s="519"/>
      <c r="J27" s="519"/>
      <c r="K27" s="520" t="s">
        <v>2915</v>
      </c>
      <c r="L27" s="521"/>
      <c r="M27" s="519"/>
      <c r="N27" s="519"/>
      <c r="O27" s="460"/>
      <c r="P27" s="461" t="s">
        <v>28</v>
      </c>
    </row>
    <row r="28" spans="1:16" s="450" customFormat="1" ht="17.100000000000001" customHeight="1">
      <c r="A28" s="1560"/>
      <c r="B28" s="518" t="s">
        <v>2917</v>
      </c>
      <c r="C28" s="519"/>
      <c r="D28" s="519"/>
      <c r="E28" s="519"/>
      <c r="F28" s="519"/>
      <c r="G28" s="519"/>
      <c r="H28" s="519"/>
      <c r="I28" s="519"/>
      <c r="J28" s="519"/>
      <c r="K28" s="520" t="s">
        <v>2918</v>
      </c>
      <c r="L28" s="521"/>
      <c r="M28" s="519"/>
      <c r="N28" s="519"/>
      <c r="O28" s="460"/>
      <c r="P28" s="461" t="s">
        <v>28</v>
      </c>
    </row>
    <row r="29" spans="1:16" s="450" customFormat="1" ht="17.100000000000001" customHeight="1">
      <c r="A29" s="1560"/>
      <c r="B29" s="518" t="s">
        <v>2920</v>
      </c>
      <c r="C29" s="519"/>
      <c r="D29" s="519"/>
      <c r="E29" s="519"/>
      <c r="F29" s="519"/>
      <c r="G29" s="519"/>
      <c r="H29" s="519"/>
      <c r="I29" s="519"/>
      <c r="J29" s="519"/>
      <c r="K29" s="520" t="s">
        <v>2918</v>
      </c>
      <c r="L29" s="521"/>
      <c r="M29" s="519"/>
      <c r="N29" s="519"/>
      <c r="O29" s="460"/>
      <c r="P29" s="461" t="s">
        <v>28</v>
      </c>
    </row>
    <row r="30" spans="1:16" s="450" customFormat="1" ht="17.100000000000001" customHeight="1">
      <c r="A30" s="462" t="s">
        <v>2922</v>
      </c>
      <c r="B30" s="518" t="s">
        <v>2923</v>
      </c>
      <c r="C30" s="519"/>
      <c r="D30" s="519"/>
      <c r="E30" s="519"/>
      <c r="F30" s="519"/>
      <c r="G30" s="519"/>
      <c r="H30" s="519"/>
      <c r="I30" s="519"/>
      <c r="J30" s="519"/>
      <c r="K30" s="520" t="s">
        <v>2918</v>
      </c>
      <c r="L30" s="521"/>
      <c r="M30" s="519"/>
      <c r="N30" s="519"/>
      <c r="O30" s="460"/>
      <c r="P30" s="461" t="s">
        <v>28</v>
      </c>
    </row>
    <row r="31" spans="1:16" s="450" customFormat="1" ht="17.100000000000001" customHeight="1">
      <c r="A31" s="462" t="s">
        <v>2925</v>
      </c>
      <c r="B31" s="518" t="s">
        <v>2926</v>
      </c>
      <c r="C31" s="519"/>
      <c r="D31" s="519"/>
      <c r="E31" s="519"/>
      <c r="F31" s="519"/>
      <c r="G31" s="519"/>
      <c r="H31" s="519"/>
      <c r="I31" s="519"/>
      <c r="J31" s="519"/>
      <c r="K31" s="520"/>
      <c r="L31" s="519"/>
      <c r="M31" s="519"/>
      <c r="N31" s="519"/>
      <c r="O31" s="460"/>
      <c r="P31" s="461" t="s">
        <v>28</v>
      </c>
    </row>
    <row r="32" spans="1:16" s="450" customFormat="1" ht="17.100000000000001" customHeight="1">
      <c r="A32" s="522" t="s">
        <v>2928</v>
      </c>
      <c r="B32" s="518" t="s">
        <v>2960</v>
      </c>
      <c r="C32" s="519"/>
      <c r="D32" s="519"/>
      <c r="E32" s="519"/>
      <c r="F32" s="519"/>
      <c r="G32" s="519"/>
      <c r="H32" s="519"/>
      <c r="I32" s="519"/>
      <c r="J32" s="519"/>
      <c r="K32" s="520" t="s">
        <v>2918</v>
      </c>
      <c r="L32" s="521"/>
      <c r="M32" s="519"/>
      <c r="N32" s="519"/>
      <c r="O32" s="460"/>
      <c r="P32" s="461" t="s">
        <v>28</v>
      </c>
    </row>
    <row r="33" spans="1:16" s="450" customFormat="1" ht="17.100000000000001" customHeight="1">
      <c r="A33" s="462" t="s">
        <v>2931</v>
      </c>
      <c r="B33" s="518" t="s">
        <v>2932</v>
      </c>
      <c r="C33" s="519"/>
      <c r="D33" s="519"/>
      <c r="E33" s="519"/>
      <c r="F33" s="519"/>
      <c r="G33" s="519"/>
      <c r="H33" s="519"/>
      <c r="I33" s="519"/>
      <c r="J33" s="519"/>
      <c r="K33" s="520" t="s">
        <v>2918</v>
      </c>
      <c r="L33" s="521"/>
      <c r="M33" s="519"/>
      <c r="N33" s="519"/>
      <c r="O33" s="460"/>
      <c r="P33" s="461" t="s">
        <v>28</v>
      </c>
    </row>
    <row r="34" spans="1:16" s="450" customFormat="1" ht="17.100000000000001" customHeight="1">
      <c r="A34" s="462" t="s">
        <v>2925</v>
      </c>
      <c r="B34" s="523" t="s">
        <v>2934</v>
      </c>
      <c r="C34" s="524"/>
      <c r="D34" s="524"/>
      <c r="E34" s="524"/>
      <c r="F34" s="524"/>
      <c r="G34" s="524"/>
      <c r="H34" s="524"/>
      <c r="I34" s="524"/>
      <c r="J34" s="524"/>
      <c r="K34" s="525" t="s">
        <v>2918</v>
      </c>
      <c r="L34" s="524"/>
      <c r="M34" s="524"/>
      <c r="N34" s="524"/>
      <c r="O34" s="526"/>
      <c r="P34" s="467" t="s">
        <v>28</v>
      </c>
    </row>
    <row r="35" spans="1:16" ht="17.100000000000001" customHeight="1">
      <c r="A35" s="527" t="s">
        <v>2936</v>
      </c>
      <c r="B35" s="511" t="s">
        <v>2937</v>
      </c>
      <c r="C35" s="528"/>
      <c r="D35" s="528"/>
      <c r="E35" s="528"/>
      <c r="F35" s="528"/>
      <c r="G35" s="528"/>
      <c r="H35" s="528"/>
      <c r="I35" s="528"/>
      <c r="J35" s="528"/>
      <c r="K35" s="529" t="s">
        <v>2918</v>
      </c>
      <c r="L35" s="528"/>
      <c r="M35" s="528"/>
      <c r="N35" s="528"/>
      <c r="O35" s="448"/>
      <c r="P35" s="449" t="s">
        <v>28</v>
      </c>
    </row>
    <row r="36" spans="1:16" ht="17.100000000000001" customHeight="1">
      <c r="A36" s="527" t="s">
        <v>2936</v>
      </c>
      <c r="B36" s="511" t="s">
        <v>2939</v>
      </c>
      <c r="C36" s="528"/>
      <c r="D36" s="528"/>
      <c r="E36" s="528"/>
      <c r="F36" s="528"/>
      <c r="G36" s="528"/>
      <c r="H36" s="528"/>
      <c r="I36" s="528"/>
      <c r="J36" s="528"/>
      <c r="K36" s="529" t="s">
        <v>2918</v>
      </c>
      <c r="L36" s="528"/>
      <c r="M36" s="528"/>
      <c r="N36" s="528"/>
      <c r="O36" s="448"/>
      <c r="P36" s="449" t="s">
        <v>28</v>
      </c>
    </row>
    <row r="37" spans="1:16" ht="17.100000000000001" customHeight="1">
      <c r="A37" s="527" t="s">
        <v>2936</v>
      </c>
      <c r="B37" s="511" t="s">
        <v>2941</v>
      </c>
      <c r="C37" s="528"/>
      <c r="D37" s="528"/>
      <c r="E37" s="528"/>
      <c r="F37" s="528"/>
      <c r="G37" s="528"/>
      <c r="H37" s="528"/>
      <c r="I37" s="528"/>
      <c r="J37" s="528"/>
      <c r="K37" s="529" t="s">
        <v>2918</v>
      </c>
      <c r="L37" s="528"/>
      <c r="M37" s="528"/>
      <c r="N37" s="528"/>
      <c r="O37" s="448"/>
      <c r="P37" s="449" t="s">
        <v>28</v>
      </c>
    </row>
    <row r="38" spans="1:16" ht="17.100000000000001" customHeight="1">
      <c r="A38" s="527" t="s">
        <v>2891</v>
      </c>
      <c r="B38" s="511" t="s">
        <v>2943</v>
      </c>
      <c r="C38" s="528"/>
      <c r="D38" s="528"/>
      <c r="E38" s="528"/>
      <c r="F38" s="528"/>
      <c r="G38" s="528"/>
      <c r="H38" s="528"/>
      <c r="I38" s="528"/>
      <c r="J38" s="528"/>
      <c r="K38" s="529" t="s">
        <v>2965</v>
      </c>
      <c r="L38" s="528"/>
      <c r="M38" s="528"/>
      <c r="N38" s="528"/>
      <c r="O38" s="448"/>
      <c r="P38" s="449" t="s">
        <v>28</v>
      </c>
    </row>
    <row r="39" spans="1:16" ht="17.100000000000001" customHeight="1">
      <c r="A39" s="527" t="s">
        <v>2891</v>
      </c>
      <c r="B39" s="511" t="s">
        <v>2947</v>
      </c>
      <c r="C39" s="528"/>
      <c r="D39" s="528"/>
      <c r="E39" s="528"/>
      <c r="F39" s="528"/>
      <c r="G39" s="528"/>
      <c r="H39" s="528"/>
      <c r="I39" s="528"/>
      <c r="J39" s="528"/>
      <c r="K39" s="529" t="s">
        <v>2918</v>
      </c>
      <c r="L39" s="528"/>
      <c r="M39" s="528"/>
      <c r="N39" s="528"/>
      <c r="O39" s="448"/>
      <c r="P39" s="449" t="s">
        <v>28</v>
      </c>
    </row>
    <row r="40" spans="1:16" ht="4.5" customHeight="1">
      <c r="A40" s="471"/>
      <c r="B40" s="450"/>
      <c r="K40" s="450"/>
      <c r="O40" s="474"/>
      <c r="P40" s="474"/>
    </row>
    <row r="41" spans="1:16" ht="17.100000000000001" customHeight="1">
      <c r="A41" s="527" t="s">
        <v>5</v>
      </c>
      <c r="B41" s="511" t="s">
        <v>3056</v>
      </c>
      <c r="C41" s="528"/>
      <c r="D41" s="528"/>
      <c r="E41" s="528"/>
      <c r="F41" s="528"/>
      <c r="G41" s="528"/>
      <c r="H41" s="528"/>
      <c r="I41" s="528"/>
      <c r="J41" s="528"/>
      <c r="K41" s="529" t="s">
        <v>3057</v>
      </c>
      <c r="L41" s="528"/>
      <c r="M41" s="528"/>
      <c r="N41" s="530"/>
      <c r="O41" s="448"/>
      <c r="P41" s="449" t="s">
        <v>28</v>
      </c>
    </row>
    <row r="42" spans="1:16" s="450" customFormat="1" ht="8.1" customHeight="1">
      <c r="A42" s="471"/>
      <c r="E42" s="531"/>
      <c r="F42" s="531"/>
      <c r="G42" s="531"/>
      <c r="H42" s="531"/>
    </row>
    <row r="43" spans="1:16" s="429" customFormat="1" ht="15" customHeight="1">
      <c r="A43" s="472" t="s">
        <v>3058</v>
      </c>
      <c r="B43" s="429" t="s">
        <v>3059</v>
      </c>
      <c r="G43" s="473"/>
      <c r="H43" s="473"/>
    </row>
    <row r="44" spans="1:16" s="429" customFormat="1" ht="15" customHeight="1">
      <c r="A44" s="472"/>
      <c r="B44" s="429" t="s">
        <v>3060</v>
      </c>
      <c r="G44" s="507"/>
      <c r="H44" s="507"/>
    </row>
    <row r="45" spans="1:16" s="429" customFormat="1" ht="15" customHeight="1">
      <c r="A45" s="472" t="s">
        <v>3061</v>
      </c>
      <c r="B45" s="429" t="s">
        <v>3062</v>
      </c>
      <c r="G45" s="507"/>
      <c r="H45" s="507"/>
    </row>
    <row r="46" spans="1:16" ht="15" customHeight="1"/>
    <row r="47" spans="1:16" ht="16.5">
      <c r="A47" s="487" t="s">
        <v>3074</v>
      </c>
      <c r="G47" s="433"/>
      <c r="H47" s="433"/>
      <c r="O47" s="424"/>
      <c r="P47" s="424"/>
    </row>
    <row r="48" spans="1:16" ht="16.5">
      <c r="A48" s="487"/>
      <c r="B48" s="424" t="s">
        <v>3075</v>
      </c>
      <c r="G48" s="433"/>
      <c r="H48" s="433"/>
      <c r="O48" s="424"/>
      <c r="P48" s="424"/>
    </row>
    <row r="49" spans="1:16" ht="16.5">
      <c r="A49" s="487"/>
      <c r="G49" s="433"/>
      <c r="H49" s="433"/>
      <c r="O49" s="424"/>
      <c r="P49" s="424"/>
    </row>
    <row r="50" spans="1:16" ht="15.75">
      <c r="A50" s="424" t="s">
        <v>3076</v>
      </c>
      <c r="G50" s="433"/>
      <c r="H50" s="433"/>
      <c r="O50" s="424"/>
      <c r="P50" s="424"/>
    </row>
    <row r="51" spans="1:16" ht="15.75">
      <c r="B51" s="424" t="s">
        <v>3077</v>
      </c>
      <c r="G51" s="433"/>
      <c r="H51" s="433"/>
      <c r="O51" s="424"/>
      <c r="P51" s="424"/>
    </row>
  </sheetData>
  <mergeCells count="22">
    <mergeCell ref="A24:A25"/>
    <mergeCell ref="A27:A29"/>
    <mergeCell ref="B18:F18"/>
    <mergeCell ref="L18:P18"/>
    <mergeCell ref="A20:P20"/>
    <mergeCell ref="A21:A22"/>
    <mergeCell ref="B21:N22"/>
    <mergeCell ref="O21:O22"/>
    <mergeCell ref="P21:P22"/>
    <mergeCell ref="B17:F17"/>
    <mergeCell ref="L17:P17"/>
    <mergeCell ref="M1:P1"/>
    <mergeCell ref="A2:C3"/>
    <mergeCell ref="M2:P2"/>
    <mergeCell ref="M3:P4"/>
    <mergeCell ref="M5:P6"/>
    <mergeCell ref="A9:P10"/>
    <mergeCell ref="A12:P12"/>
    <mergeCell ref="B13:P13"/>
    <mergeCell ref="B14:P14"/>
    <mergeCell ref="B15:P15"/>
    <mergeCell ref="B16:F16"/>
  </mergeCells>
  <phoneticPr fontId="139"/>
  <dataValidations count="3">
    <dataValidation type="list" allowBlank="1" showInputMessage="1" showErrorMessage="1" sqref="M3" xr:uid="{00000000-0002-0000-0F00-000000000000}">
      <formula1>"　,1,2,3,4,5,6,7,8,9,10,11,12"</formula1>
    </dataValidation>
    <dataValidation type="list" allowBlank="1" showInputMessage="1" showErrorMessage="1" sqref="M5" xr:uid="{00000000-0002-0000-0F00-000001000000}">
      <formula1>"　,1,2,3,4,5,6,7,8,9,10,11,12,13,14,15,16,17,18,19,20,21,22,23,24,25,26,27,28,29,30,31"</formula1>
    </dataValidation>
    <dataValidation type="list" allowBlank="1" showInputMessage="1" showErrorMessage="1" sqref="O40:P40" xr:uid="{00000000-0002-0000-0F00-000002000000}">
      <formula1>$J$22:$J$23</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
                <anchor moveWithCells="1">
                  <from>
                    <xdr:col>14</xdr:col>
                    <xdr:colOff>85725</xdr:colOff>
                    <xdr:row>22</xdr:row>
                    <xdr:rowOff>0</xdr:rowOff>
                  </from>
                  <to>
                    <xdr:col>14</xdr:col>
                    <xdr:colOff>390525</xdr:colOff>
                    <xdr:row>23</xdr:row>
                    <xdr:rowOff>0</xdr:rowOff>
                  </to>
                </anchor>
              </controlPr>
            </control>
          </mc:Choice>
        </mc:AlternateContent>
        <mc:AlternateContent xmlns:mc="http://schemas.openxmlformats.org/markup-compatibility/2006">
          <mc:Choice Requires="x14">
            <control shapeId="37890" r:id="rId5" name="Check Box 2">
              <controlPr defaultSize="0" autoFill="0" autoLine="0" autoPict="0" altText="">
                <anchor moveWithCells="1">
                  <from>
                    <xdr:col>14</xdr:col>
                    <xdr:colOff>85725</xdr:colOff>
                    <xdr:row>24</xdr:row>
                    <xdr:rowOff>0</xdr:rowOff>
                  </from>
                  <to>
                    <xdr:col>14</xdr:col>
                    <xdr:colOff>390525</xdr:colOff>
                    <xdr:row>25</xdr:row>
                    <xdr:rowOff>0</xdr:rowOff>
                  </to>
                </anchor>
              </controlPr>
            </control>
          </mc:Choice>
        </mc:AlternateContent>
        <mc:AlternateContent xmlns:mc="http://schemas.openxmlformats.org/markup-compatibility/2006">
          <mc:Choice Requires="x14">
            <control shapeId="37891" r:id="rId6" name="Check Box 3">
              <controlPr defaultSize="0" autoFill="0" autoLine="0" autoPict="0" altText="">
                <anchor moveWithCells="1">
                  <from>
                    <xdr:col>14</xdr:col>
                    <xdr:colOff>85725</xdr:colOff>
                    <xdr:row>25</xdr:row>
                    <xdr:rowOff>0</xdr:rowOff>
                  </from>
                  <to>
                    <xdr:col>14</xdr:col>
                    <xdr:colOff>390525</xdr:colOff>
                    <xdr:row>26</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ltText="">
                <anchor moveWithCells="1">
                  <from>
                    <xdr:col>14</xdr:col>
                    <xdr:colOff>85725</xdr:colOff>
                    <xdr:row>26</xdr:row>
                    <xdr:rowOff>0</xdr:rowOff>
                  </from>
                  <to>
                    <xdr:col>14</xdr:col>
                    <xdr:colOff>390525</xdr:colOff>
                    <xdr:row>27</xdr:row>
                    <xdr:rowOff>0</xdr:rowOff>
                  </to>
                </anchor>
              </controlPr>
            </control>
          </mc:Choice>
        </mc:AlternateContent>
        <mc:AlternateContent xmlns:mc="http://schemas.openxmlformats.org/markup-compatibility/2006">
          <mc:Choice Requires="x14">
            <control shapeId="37893" r:id="rId8" name="Check Box 5">
              <controlPr defaultSize="0" autoFill="0" autoLine="0" autoPict="0" altText="">
                <anchor moveWithCells="1">
                  <from>
                    <xdr:col>14</xdr:col>
                    <xdr:colOff>85725</xdr:colOff>
                    <xdr:row>27</xdr:row>
                    <xdr:rowOff>0</xdr:rowOff>
                  </from>
                  <to>
                    <xdr:col>14</xdr:col>
                    <xdr:colOff>390525</xdr:colOff>
                    <xdr:row>28</xdr:row>
                    <xdr:rowOff>0</xdr:rowOff>
                  </to>
                </anchor>
              </controlPr>
            </control>
          </mc:Choice>
        </mc:AlternateContent>
        <mc:AlternateContent xmlns:mc="http://schemas.openxmlformats.org/markup-compatibility/2006">
          <mc:Choice Requires="x14">
            <control shapeId="37894" r:id="rId9" name="Check Box 6">
              <controlPr defaultSize="0" autoFill="0" autoLine="0" autoPict="0" altText="">
                <anchor moveWithCells="1">
                  <from>
                    <xdr:col>14</xdr:col>
                    <xdr:colOff>85725</xdr:colOff>
                    <xdr:row>28</xdr:row>
                    <xdr:rowOff>0</xdr:rowOff>
                  </from>
                  <to>
                    <xdr:col>14</xdr:col>
                    <xdr:colOff>390525</xdr:colOff>
                    <xdr:row>29</xdr:row>
                    <xdr:rowOff>0</xdr:rowOff>
                  </to>
                </anchor>
              </controlPr>
            </control>
          </mc:Choice>
        </mc:AlternateContent>
        <mc:AlternateContent xmlns:mc="http://schemas.openxmlformats.org/markup-compatibility/2006">
          <mc:Choice Requires="x14">
            <control shapeId="37895" r:id="rId10" name="Check Box 7">
              <controlPr defaultSize="0" autoFill="0" autoLine="0" autoPict="0" altText="">
                <anchor moveWithCells="1">
                  <from>
                    <xdr:col>14</xdr:col>
                    <xdr:colOff>85725</xdr:colOff>
                    <xdr:row>29</xdr:row>
                    <xdr:rowOff>0</xdr:rowOff>
                  </from>
                  <to>
                    <xdr:col>14</xdr:col>
                    <xdr:colOff>390525</xdr:colOff>
                    <xdr:row>30</xdr:row>
                    <xdr:rowOff>0</xdr:rowOff>
                  </to>
                </anchor>
              </controlPr>
            </control>
          </mc:Choice>
        </mc:AlternateContent>
        <mc:AlternateContent xmlns:mc="http://schemas.openxmlformats.org/markup-compatibility/2006">
          <mc:Choice Requires="x14">
            <control shapeId="37896" r:id="rId11" name="Check Box 8">
              <controlPr defaultSize="0" autoFill="0" autoLine="0" autoPict="0" altText="">
                <anchor moveWithCells="1">
                  <from>
                    <xdr:col>14</xdr:col>
                    <xdr:colOff>85725</xdr:colOff>
                    <xdr:row>30</xdr:row>
                    <xdr:rowOff>0</xdr:rowOff>
                  </from>
                  <to>
                    <xdr:col>14</xdr:col>
                    <xdr:colOff>390525</xdr:colOff>
                    <xdr:row>31</xdr:row>
                    <xdr:rowOff>0</xdr:rowOff>
                  </to>
                </anchor>
              </controlPr>
            </control>
          </mc:Choice>
        </mc:AlternateContent>
        <mc:AlternateContent xmlns:mc="http://schemas.openxmlformats.org/markup-compatibility/2006">
          <mc:Choice Requires="x14">
            <control shapeId="37897" r:id="rId12" name="Check Box 9">
              <controlPr defaultSize="0" autoFill="0" autoLine="0" autoPict="0" altText="">
                <anchor moveWithCells="1">
                  <from>
                    <xdr:col>14</xdr:col>
                    <xdr:colOff>85725</xdr:colOff>
                    <xdr:row>31</xdr:row>
                    <xdr:rowOff>0</xdr:rowOff>
                  </from>
                  <to>
                    <xdr:col>14</xdr:col>
                    <xdr:colOff>390525</xdr:colOff>
                    <xdr:row>32</xdr:row>
                    <xdr:rowOff>0</xdr:rowOff>
                  </to>
                </anchor>
              </controlPr>
            </control>
          </mc:Choice>
        </mc:AlternateContent>
        <mc:AlternateContent xmlns:mc="http://schemas.openxmlformats.org/markup-compatibility/2006">
          <mc:Choice Requires="x14">
            <control shapeId="37898" r:id="rId13" name="Check Box 10">
              <controlPr defaultSize="0" autoFill="0" autoLine="0" autoPict="0" altText="">
                <anchor moveWithCells="1">
                  <from>
                    <xdr:col>14</xdr:col>
                    <xdr:colOff>85725</xdr:colOff>
                    <xdr:row>32</xdr:row>
                    <xdr:rowOff>0</xdr:rowOff>
                  </from>
                  <to>
                    <xdr:col>14</xdr:col>
                    <xdr:colOff>390525</xdr:colOff>
                    <xdr:row>33</xdr:row>
                    <xdr:rowOff>0</xdr:rowOff>
                  </to>
                </anchor>
              </controlPr>
            </control>
          </mc:Choice>
        </mc:AlternateContent>
        <mc:AlternateContent xmlns:mc="http://schemas.openxmlformats.org/markup-compatibility/2006">
          <mc:Choice Requires="x14">
            <control shapeId="37899" r:id="rId14" name="Check Box 11">
              <controlPr defaultSize="0" autoFill="0" autoLine="0" autoPict="0" altText="">
                <anchor moveWithCells="1">
                  <from>
                    <xdr:col>14</xdr:col>
                    <xdr:colOff>85725</xdr:colOff>
                    <xdr:row>33</xdr:row>
                    <xdr:rowOff>0</xdr:rowOff>
                  </from>
                  <to>
                    <xdr:col>14</xdr:col>
                    <xdr:colOff>390525</xdr:colOff>
                    <xdr:row>34</xdr:row>
                    <xdr:rowOff>0</xdr:rowOff>
                  </to>
                </anchor>
              </controlPr>
            </control>
          </mc:Choice>
        </mc:AlternateContent>
        <mc:AlternateContent xmlns:mc="http://schemas.openxmlformats.org/markup-compatibility/2006">
          <mc:Choice Requires="x14">
            <control shapeId="37900" r:id="rId15" name="Check Box 12">
              <controlPr defaultSize="0" autoFill="0" autoLine="0" autoPict="0" altText="">
                <anchor moveWithCells="1">
                  <from>
                    <xdr:col>14</xdr:col>
                    <xdr:colOff>85725</xdr:colOff>
                    <xdr:row>34</xdr:row>
                    <xdr:rowOff>0</xdr:rowOff>
                  </from>
                  <to>
                    <xdr:col>14</xdr:col>
                    <xdr:colOff>390525</xdr:colOff>
                    <xdr:row>35</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ltText="">
                <anchor moveWithCells="1">
                  <from>
                    <xdr:col>14</xdr:col>
                    <xdr:colOff>85725</xdr:colOff>
                    <xdr:row>35</xdr:row>
                    <xdr:rowOff>0</xdr:rowOff>
                  </from>
                  <to>
                    <xdr:col>14</xdr:col>
                    <xdr:colOff>390525</xdr:colOff>
                    <xdr:row>36</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ltText="">
                <anchor moveWithCells="1">
                  <from>
                    <xdr:col>14</xdr:col>
                    <xdr:colOff>85725</xdr:colOff>
                    <xdr:row>36</xdr:row>
                    <xdr:rowOff>0</xdr:rowOff>
                  </from>
                  <to>
                    <xdr:col>14</xdr:col>
                    <xdr:colOff>390525</xdr:colOff>
                    <xdr:row>37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ltText="">
                <anchor moveWithCells="1">
                  <from>
                    <xdr:col>14</xdr:col>
                    <xdr:colOff>85725</xdr:colOff>
                    <xdr:row>37</xdr:row>
                    <xdr:rowOff>0</xdr:rowOff>
                  </from>
                  <to>
                    <xdr:col>14</xdr:col>
                    <xdr:colOff>390525</xdr:colOff>
                    <xdr:row>38</xdr:row>
                    <xdr:rowOff>0</xdr:rowOff>
                  </to>
                </anchor>
              </controlPr>
            </control>
          </mc:Choice>
        </mc:AlternateContent>
        <mc:AlternateContent xmlns:mc="http://schemas.openxmlformats.org/markup-compatibility/2006">
          <mc:Choice Requires="x14">
            <control shapeId="37904" r:id="rId19" name="Check Box 16">
              <controlPr defaultSize="0" autoFill="0" autoLine="0" autoPict="0" altText="">
                <anchor moveWithCells="1">
                  <from>
                    <xdr:col>14</xdr:col>
                    <xdr:colOff>85725</xdr:colOff>
                    <xdr:row>38</xdr:row>
                    <xdr:rowOff>0</xdr:rowOff>
                  </from>
                  <to>
                    <xdr:col>14</xdr:col>
                    <xdr:colOff>390525</xdr:colOff>
                    <xdr:row>39</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ltText="">
                <anchor moveWithCells="1">
                  <from>
                    <xdr:col>14</xdr:col>
                    <xdr:colOff>85725</xdr:colOff>
                    <xdr:row>40</xdr:row>
                    <xdr:rowOff>0</xdr:rowOff>
                  </from>
                  <to>
                    <xdr:col>14</xdr:col>
                    <xdr:colOff>390525</xdr:colOff>
                    <xdr:row>41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5117038483843"/>
    <pageSetUpPr fitToPage="1"/>
  </sheetPr>
  <dimension ref="A1:R49"/>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24">
        <v>20190401</v>
      </c>
      <c r="N1" s="1524"/>
      <c r="O1" s="1524"/>
      <c r="P1" s="1524"/>
    </row>
    <row r="2" spans="1:16" ht="24.95" customHeight="1">
      <c r="A2" s="1525" t="s">
        <v>3032</v>
      </c>
      <c r="B2" s="1526"/>
      <c r="C2" s="1527"/>
      <c r="D2" s="425" t="s">
        <v>3072</v>
      </c>
      <c r="E2" s="426"/>
      <c r="F2" s="426"/>
      <c r="G2" s="426"/>
      <c r="H2" s="426"/>
      <c r="I2" s="426"/>
      <c r="J2" s="427"/>
      <c r="M2" s="1563" t="s">
        <v>3073</v>
      </c>
      <c r="N2" s="1564"/>
      <c r="O2" s="1564"/>
      <c r="P2" s="1565"/>
    </row>
    <row r="3" spans="1:16" ht="24.95" customHeight="1">
      <c r="A3" s="1528"/>
      <c r="B3" s="1529"/>
      <c r="C3" s="1530"/>
      <c r="D3" s="425" t="s">
        <v>3035</v>
      </c>
      <c r="E3" s="426"/>
      <c r="F3" s="426"/>
      <c r="G3" s="426"/>
      <c r="H3" s="426"/>
      <c r="I3" s="426"/>
      <c r="J3" s="427"/>
      <c r="M3" s="1534" t="s">
        <v>376</v>
      </c>
      <c r="N3" s="1535"/>
      <c r="O3" s="1535"/>
      <c r="P3" s="1536"/>
    </row>
    <row r="4" spans="1:16" ht="24.95" customHeight="1">
      <c r="A4" s="425" t="s">
        <v>3036</v>
      </c>
      <c r="B4" s="428"/>
      <c r="C4" s="428"/>
      <c r="D4" s="428"/>
      <c r="E4" s="426"/>
      <c r="F4" s="426"/>
      <c r="G4" s="426"/>
      <c r="H4" s="426"/>
      <c r="I4" s="426"/>
      <c r="J4" s="427"/>
      <c r="M4" s="1534"/>
      <c r="N4" s="1535"/>
      <c r="O4" s="1535"/>
      <c r="P4" s="1536"/>
    </row>
    <row r="5" spans="1:16" ht="24.95" customHeight="1">
      <c r="A5" s="425" t="s">
        <v>3037</v>
      </c>
      <c r="B5" s="428"/>
      <c r="C5" s="428"/>
      <c r="D5" s="428"/>
      <c r="E5" s="426"/>
      <c r="F5" s="426"/>
      <c r="G5" s="426"/>
      <c r="H5" s="426"/>
      <c r="I5" s="426"/>
      <c r="J5" s="427"/>
      <c r="M5" s="1537" t="s">
        <v>376</v>
      </c>
      <c r="N5" s="1538"/>
      <c r="O5" s="1538"/>
      <c r="P5" s="1539"/>
    </row>
    <row r="6" spans="1:16" ht="24.95" customHeight="1">
      <c r="A6" s="425" t="s">
        <v>3037</v>
      </c>
      <c r="B6" s="428"/>
      <c r="C6" s="428"/>
      <c r="D6" s="428"/>
      <c r="E6" s="426"/>
      <c r="F6" s="426"/>
      <c r="G6" s="426"/>
      <c r="H6" s="426"/>
      <c r="I6" s="426"/>
      <c r="J6" s="427"/>
      <c r="M6" s="1540"/>
      <c r="N6" s="1541"/>
      <c r="O6" s="1541"/>
      <c r="P6" s="1542"/>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543" t="s">
        <v>2756</v>
      </c>
      <c r="B9" s="1544"/>
      <c r="C9" s="1544"/>
      <c r="D9" s="1544"/>
      <c r="E9" s="1544"/>
      <c r="F9" s="1544"/>
      <c r="G9" s="1544"/>
      <c r="H9" s="1544"/>
      <c r="I9" s="1544"/>
      <c r="J9" s="1544"/>
      <c r="K9" s="1544"/>
      <c r="L9" s="1544"/>
      <c r="M9" s="1544"/>
      <c r="N9" s="1544"/>
      <c r="O9" s="1544"/>
      <c r="P9" s="1544"/>
    </row>
    <row r="10" spans="1:16" ht="15.75">
      <c r="A10" s="1544"/>
      <c r="B10" s="1544"/>
      <c r="C10" s="1544"/>
      <c r="D10" s="1544"/>
      <c r="E10" s="1544"/>
      <c r="F10" s="1544"/>
      <c r="G10" s="1544"/>
      <c r="H10" s="1544"/>
      <c r="I10" s="1544"/>
      <c r="J10" s="1544"/>
      <c r="K10" s="1544"/>
      <c r="L10" s="1544"/>
      <c r="M10" s="1544"/>
      <c r="N10" s="1544"/>
      <c r="O10" s="1544"/>
      <c r="P10" s="1544"/>
    </row>
    <row r="11" spans="1:16" ht="9.9499999999999993" customHeight="1">
      <c r="A11" s="432"/>
      <c r="B11" s="432"/>
      <c r="C11" s="432"/>
      <c r="D11" s="432"/>
      <c r="E11" s="432"/>
      <c r="F11" s="432"/>
      <c r="G11" s="432"/>
      <c r="H11" s="432"/>
      <c r="I11" s="432"/>
      <c r="J11" s="432"/>
      <c r="K11" s="432"/>
      <c r="L11" s="432"/>
      <c r="M11" s="432"/>
      <c r="N11" s="432"/>
      <c r="O11" s="432"/>
      <c r="P11" s="432"/>
    </row>
    <row r="12" spans="1:16">
      <c r="A12" s="1545" t="s">
        <v>3040</v>
      </c>
      <c r="B12" s="1546"/>
      <c r="C12" s="1546"/>
      <c r="D12" s="1546"/>
      <c r="E12" s="1546"/>
      <c r="F12" s="1546"/>
      <c r="G12" s="1546"/>
      <c r="H12" s="1546"/>
      <c r="I12" s="1546"/>
      <c r="J12" s="1546"/>
      <c r="K12" s="1546"/>
      <c r="L12" s="1546"/>
      <c r="M12" s="1546"/>
      <c r="N12" s="1546"/>
      <c r="O12" s="1546"/>
      <c r="P12" s="1547"/>
    </row>
    <row r="13" spans="1:16" ht="24.95" customHeight="1">
      <c r="A13" s="433" t="s">
        <v>3041</v>
      </c>
      <c r="B13" s="1548" t="str">
        <f>cst_wskakunin_BUILD__address</f>
        <v/>
      </c>
      <c r="C13" s="1548"/>
      <c r="D13" s="1548"/>
      <c r="E13" s="1548"/>
      <c r="F13" s="1548"/>
      <c r="G13" s="1548"/>
      <c r="H13" s="1548"/>
      <c r="I13" s="1548"/>
      <c r="J13" s="1548"/>
      <c r="K13" s="1548"/>
      <c r="L13" s="1548"/>
      <c r="M13" s="1548"/>
      <c r="N13" s="1548"/>
      <c r="O13" s="1548"/>
      <c r="P13" s="1548"/>
    </row>
    <row r="14" spans="1:16" ht="24.95" customHeight="1">
      <c r="A14" s="433" t="s">
        <v>3042</v>
      </c>
      <c r="B14" s="1548" t="str">
        <f>cst_wskakunin_owner1__space&amp;" "&amp;cst_wskakunin_owner2__space&amp;" "&amp;cst_wskakunin_owner3__space&amp;" "&amp;cst_wskakunin_owner4__space</f>
        <v xml:space="preserve">   </v>
      </c>
      <c r="C14" s="1548"/>
      <c r="D14" s="1548"/>
      <c r="E14" s="1548"/>
      <c r="F14" s="1548"/>
      <c r="G14" s="1548"/>
      <c r="H14" s="1548"/>
      <c r="I14" s="1548"/>
      <c r="J14" s="1548"/>
      <c r="K14" s="1548"/>
      <c r="L14" s="1548"/>
      <c r="M14" s="1548"/>
      <c r="N14" s="1548"/>
      <c r="O14" s="1548"/>
      <c r="P14" s="1548"/>
    </row>
    <row r="15" spans="1:16" ht="24.95" customHeight="1">
      <c r="A15" s="433" t="s">
        <v>3043</v>
      </c>
      <c r="B15" s="1549" t="str">
        <f>IF(目次・入力シート!BJ11="","「目次･入力シート」に入力してください",目次・入力シート!BJ11)</f>
        <v>「目次･入力シート」に入力してください</v>
      </c>
      <c r="C15" s="1549"/>
      <c r="D15" s="1549"/>
      <c r="E15" s="1549"/>
      <c r="F15" s="1549"/>
      <c r="G15" s="1549"/>
      <c r="H15" s="1549"/>
      <c r="I15" s="1549"/>
      <c r="J15" s="1549"/>
      <c r="K15" s="1549"/>
      <c r="L15" s="1549"/>
      <c r="M15" s="1549"/>
      <c r="N15" s="1549"/>
      <c r="O15" s="1549"/>
      <c r="P15" s="1549"/>
    </row>
    <row r="16" spans="1:16" ht="24.95" customHeight="1">
      <c r="A16" s="433" t="s">
        <v>3044</v>
      </c>
      <c r="B16" s="1523" t="str">
        <f>IF(目次・入力シート!BJ13="","「目次･入力シート」に入力してください",目次・入力シート!BJ13)</f>
        <v>「目次･入力シート」に入力してください</v>
      </c>
      <c r="C16" s="1523"/>
      <c r="D16" s="1523"/>
      <c r="E16" s="1523"/>
      <c r="F16" s="1523"/>
      <c r="G16" s="434"/>
      <c r="H16" s="434"/>
      <c r="I16" s="434"/>
      <c r="J16" s="434"/>
      <c r="K16" s="435"/>
      <c r="L16" s="435"/>
      <c r="M16" s="435"/>
      <c r="N16" s="435"/>
      <c r="O16" s="435"/>
      <c r="P16" s="435"/>
    </row>
    <row r="17" spans="1:16" ht="24.95" customHeight="1">
      <c r="A17" s="433" t="s">
        <v>3045</v>
      </c>
      <c r="B17" s="1523" t="str">
        <f>IF(目次・入力シート!BJ15="","「目次･入力シート」に入力してください",目次・入力シート!BJ15)</f>
        <v>「目次･入力シート」に入力してください</v>
      </c>
      <c r="C17" s="1523"/>
      <c r="D17" s="1523"/>
      <c r="E17" s="1523"/>
      <c r="F17" s="1523"/>
      <c r="G17" s="434"/>
      <c r="H17" s="434"/>
      <c r="J17" s="434"/>
      <c r="K17" s="435" t="s">
        <v>3046</v>
      </c>
      <c r="L17" s="1523" t="str">
        <f>IF(目次・入力シート!BJ19="","「目次･入力シート」に入力してください",目次・入力シート!BJ19)</f>
        <v>「目次･入力シート」に入力してください</v>
      </c>
      <c r="M17" s="1523"/>
      <c r="N17" s="1523"/>
      <c r="O17" s="1523"/>
      <c r="P17" s="1523"/>
    </row>
    <row r="18" spans="1:16" ht="24.95" customHeight="1">
      <c r="A18" s="433" t="s">
        <v>3047</v>
      </c>
      <c r="B18" s="1523" t="str">
        <f>IF(目次・入力シート!BJ17="","「目次･入力シート」に入力してください",目次・入力シート!BJ17)</f>
        <v>「目次･入力シート」に入力してください</v>
      </c>
      <c r="C18" s="1523"/>
      <c r="D18" s="1523"/>
      <c r="E18" s="1523"/>
      <c r="F18" s="1523"/>
      <c r="G18" s="434"/>
      <c r="H18" s="434"/>
      <c r="I18" s="435"/>
      <c r="J18" s="434"/>
      <c r="K18" s="435" t="s">
        <v>3048</v>
      </c>
      <c r="L18" s="1523" t="str">
        <f>IF(目次・入力シート!BJ21="","「目次･入力シート」に入力してください",目次・入力シート!BJ21)</f>
        <v>「目次･入力シート」に入力してください</v>
      </c>
      <c r="M18" s="1523"/>
      <c r="N18" s="1523"/>
      <c r="O18" s="1523"/>
      <c r="P18" s="1523"/>
    </row>
    <row r="19" spans="1:16" s="440" customFormat="1" ht="9.9499999999999993" customHeight="1">
      <c r="A19" s="436"/>
      <c r="B19" s="437"/>
      <c r="C19" s="437"/>
      <c r="D19" s="437"/>
      <c r="E19" s="437"/>
      <c r="F19" s="437"/>
      <c r="G19" s="438"/>
      <c r="H19" s="438"/>
      <c r="I19" s="439"/>
      <c r="J19" s="438"/>
      <c r="K19" s="439"/>
    </row>
    <row r="20" spans="1:16">
      <c r="A20" s="1553" t="s">
        <v>3049</v>
      </c>
      <c r="B20" s="1553"/>
      <c r="C20" s="1553"/>
      <c r="D20" s="1553"/>
      <c r="E20" s="1553"/>
      <c r="F20" s="1553"/>
      <c r="G20" s="1553"/>
      <c r="H20" s="1553"/>
      <c r="I20" s="1553"/>
      <c r="J20" s="1553"/>
      <c r="K20" s="1553"/>
      <c r="L20" s="1553"/>
      <c r="M20" s="1553"/>
      <c r="N20" s="1553"/>
      <c r="O20" s="1553"/>
      <c r="P20" s="1553"/>
    </row>
    <row r="21" spans="1:16" ht="12" customHeight="1">
      <c r="A21" s="1554" t="s">
        <v>2887</v>
      </c>
      <c r="B21" s="1554" t="s">
        <v>2888</v>
      </c>
      <c r="C21" s="1554"/>
      <c r="D21" s="1554"/>
      <c r="E21" s="1554"/>
      <c r="F21" s="1554"/>
      <c r="G21" s="1554"/>
      <c r="H21" s="1554"/>
      <c r="I21" s="1554"/>
      <c r="J21" s="1554"/>
      <c r="K21" s="1554"/>
      <c r="L21" s="1554"/>
      <c r="M21" s="1554"/>
      <c r="N21" s="1554"/>
      <c r="O21" s="1555" t="s">
        <v>3050</v>
      </c>
      <c r="P21" s="1555" t="s">
        <v>3051</v>
      </c>
    </row>
    <row r="22" spans="1:16" ht="12" customHeight="1">
      <c r="A22" s="1554"/>
      <c r="B22" s="1554"/>
      <c r="C22" s="1554"/>
      <c r="D22" s="1554"/>
      <c r="E22" s="1554"/>
      <c r="F22" s="1554"/>
      <c r="G22" s="1554"/>
      <c r="H22" s="1554"/>
      <c r="I22" s="1554"/>
      <c r="J22" s="1554"/>
      <c r="K22" s="1554"/>
      <c r="L22" s="1554"/>
      <c r="M22" s="1554"/>
      <c r="N22" s="1554"/>
      <c r="O22" s="1555"/>
      <c r="P22" s="1555"/>
    </row>
    <row r="23" spans="1:16" s="450" customFormat="1" ht="17.100000000000001" customHeight="1">
      <c r="A23" s="527" t="s">
        <v>2891</v>
      </c>
      <c r="B23" s="532" t="s">
        <v>3052</v>
      </c>
      <c r="C23" s="512"/>
      <c r="D23" s="512"/>
      <c r="E23" s="512"/>
      <c r="F23" s="512"/>
      <c r="G23" s="512"/>
      <c r="H23" s="512"/>
      <c r="I23" s="512"/>
      <c r="J23" s="513"/>
      <c r="K23" s="533"/>
      <c r="L23" s="512"/>
      <c r="M23" s="512"/>
      <c r="N23" s="512"/>
      <c r="O23" s="448"/>
      <c r="P23" s="449" t="s">
        <v>28</v>
      </c>
    </row>
    <row r="24" spans="1:16" s="450" customFormat="1" ht="17.100000000000001" customHeight="1">
      <c r="A24" s="527" t="s">
        <v>2891</v>
      </c>
      <c r="B24" s="532" t="s">
        <v>3078</v>
      </c>
      <c r="C24" s="512"/>
      <c r="D24" s="512"/>
      <c r="E24" s="512"/>
      <c r="F24" s="512"/>
      <c r="G24" s="512"/>
      <c r="H24" s="512"/>
      <c r="I24" s="512"/>
      <c r="J24" s="512"/>
      <c r="K24" s="533" t="s">
        <v>2900</v>
      </c>
      <c r="L24" s="512"/>
      <c r="M24" s="512"/>
      <c r="N24" s="512"/>
      <c r="O24" s="448"/>
      <c r="P24" s="449" t="s">
        <v>28</v>
      </c>
    </row>
    <row r="25" spans="1:16" s="450" customFormat="1" ht="17.100000000000001" customHeight="1">
      <c r="A25" s="527" t="s">
        <v>2891</v>
      </c>
      <c r="B25" s="532" t="s">
        <v>2901</v>
      </c>
      <c r="C25" s="512"/>
      <c r="D25" s="512"/>
      <c r="E25" s="512"/>
      <c r="F25" s="512"/>
      <c r="G25" s="512"/>
      <c r="H25" s="512"/>
      <c r="I25" s="512"/>
      <c r="J25" s="512"/>
      <c r="K25" s="533" t="s">
        <v>2902</v>
      </c>
      <c r="L25" s="534"/>
      <c r="M25" s="512"/>
      <c r="N25" s="512"/>
      <c r="O25" s="448"/>
      <c r="P25" s="449" t="s">
        <v>28</v>
      </c>
    </row>
    <row r="26" spans="1:16" s="450" customFormat="1" ht="17.100000000000001" customHeight="1">
      <c r="A26" s="1566" t="s">
        <v>2904</v>
      </c>
      <c r="B26" s="535" t="s">
        <v>2905</v>
      </c>
      <c r="C26" s="516"/>
      <c r="D26" s="516"/>
      <c r="E26" s="516"/>
      <c r="F26" s="516"/>
      <c r="G26" s="516"/>
      <c r="H26" s="516"/>
      <c r="I26" s="516"/>
      <c r="J26" s="516"/>
      <c r="K26" s="536"/>
      <c r="L26" s="516"/>
      <c r="M26" s="516"/>
      <c r="N26" s="516"/>
      <c r="O26" s="455"/>
      <c r="P26" s="455"/>
    </row>
    <row r="27" spans="1:16" s="450" customFormat="1" ht="17.100000000000001" customHeight="1">
      <c r="A27" s="1566"/>
      <c r="B27" s="537" t="s">
        <v>2907</v>
      </c>
      <c r="C27" s="519"/>
      <c r="D27" s="519"/>
      <c r="E27" s="519"/>
      <c r="F27" s="519"/>
      <c r="G27" s="519"/>
      <c r="H27" s="519"/>
      <c r="I27" s="519"/>
      <c r="J27" s="519"/>
      <c r="K27" s="538" t="s">
        <v>2908</v>
      </c>
      <c r="L27" s="521"/>
      <c r="M27" s="519"/>
      <c r="N27" s="519"/>
      <c r="O27" s="460"/>
      <c r="P27" s="461" t="s">
        <v>28</v>
      </c>
    </row>
    <row r="28" spans="1:16" s="450" customFormat="1" ht="17.100000000000001" customHeight="1">
      <c r="A28" s="522" t="s">
        <v>2910</v>
      </c>
      <c r="B28" s="537" t="s">
        <v>2911</v>
      </c>
      <c r="C28" s="519"/>
      <c r="D28" s="519"/>
      <c r="E28" s="519"/>
      <c r="F28" s="519"/>
      <c r="G28" s="519"/>
      <c r="H28" s="519"/>
      <c r="I28" s="519"/>
      <c r="J28" s="519"/>
      <c r="K28" s="538"/>
      <c r="L28" s="521"/>
      <c r="M28" s="519"/>
      <c r="N28" s="519"/>
      <c r="O28" s="460"/>
      <c r="P28" s="461" t="s">
        <v>28</v>
      </c>
    </row>
    <row r="29" spans="1:16" s="450" customFormat="1" ht="17.100000000000001" customHeight="1">
      <c r="A29" s="1567" t="s">
        <v>2913</v>
      </c>
      <c r="B29" s="537" t="s">
        <v>2914</v>
      </c>
      <c r="C29" s="519"/>
      <c r="D29" s="519"/>
      <c r="E29" s="519"/>
      <c r="F29" s="519"/>
      <c r="G29" s="519"/>
      <c r="H29" s="519"/>
      <c r="I29" s="519"/>
      <c r="J29" s="519"/>
      <c r="K29" s="538" t="s">
        <v>2915</v>
      </c>
      <c r="L29" s="521"/>
      <c r="M29" s="519"/>
      <c r="N29" s="519"/>
      <c r="O29" s="460"/>
      <c r="P29" s="461" t="s">
        <v>28</v>
      </c>
    </row>
    <row r="30" spans="1:16" s="450" customFormat="1" ht="17.100000000000001" customHeight="1">
      <c r="A30" s="1567"/>
      <c r="B30" s="537" t="s">
        <v>2917</v>
      </c>
      <c r="C30" s="519"/>
      <c r="D30" s="519"/>
      <c r="E30" s="519"/>
      <c r="F30" s="519"/>
      <c r="G30" s="519"/>
      <c r="H30" s="519"/>
      <c r="I30" s="519"/>
      <c r="J30" s="519"/>
      <c r="K30" s="538" t="s">
        <v>2918</v>
      </c>
      <c r="L30" s="521"/>
      <c r="M30" s="519"/>
      <c r="N30" s="519"/>
      <c r="O30" s="460"/>
      <c r="P30" s="461" t="s">
        <v>28</v>
      </c>
    </row>
    <row r="31" spans="1:16" s="450" customFormat="1" ht="17.100000000000001" customHeight="1">
      <c r="A31" s="1567"/>
      <c r="B31" s="537" t="s">
        <v>2920</v>
      </c>
      <c r="C31" s="519"/>
      <c r="D31" s="519"/>
      <c r="E31" s="519"/>
      <c r="F31" s="519"/>
      <c r="G31" s="519"/>
      <c r="H31" s="519"/>
      <c r="I31" s="519"/>
      <c r="J31" s="519"/>
      <c r="K31" s="538" t="s">
        <v>2918</v>
      </c>
      <c r="L31" s="519"/>
      <c r="M31" s="519"/>
      <c r="N31" s="519"/>
      <c r="O31" s="460"/>
      <c r="P31" s="461" t="s">
        <v>28</v>
      </c>
    </row>
    <row r="32" spans="1:16" s="450" customFormat="1" ht="17.100000000000001" customHeight="1">
      <c r="A32" s="462" t="s">
        <v>2922</v>
      </c>
      <c r="B32" s="537" t="s">
        <v>2923</v>
      </c>
      <c r="C32" s="519"/>
      <c r="D32" s="519"/>
      <c r="E32" s="519"/>
      <c r="F32" s="519"/>
      <c r="G32" s="519"/>
      <c r="H32" s="519"/>
      <c r="I32" s="519"/>
      <c r="J32" s="519"/>
      <c r="K32" s="538" t="s">
        <v>2918</v>
      </c>
      <c r="L32" s="521"/>
      <c r="M32" s="519"/>
      <c r="N32" s="519"/>
      <c r="O32" s="460"/>
      <c r="P32" s="461" t="s">
        <v>28</v>
      </c>
    </row>
    <row r="33" spans="1:18" s="450" customFormat="1" ht="17.100000000000001" customHeight="1">
      <c r="A33" s="462" t="s">
        <v>2925</v>
      </c>
      <c r="B33" s="537" t="s">
        <v>2926</v>
      </c>
      <c r="C33" s="519"/>
      <c r="D33" s="519"/>
      <c r="E33" s="519"/>
      <c r="F33" s="519"/>
      <c r="G33" s="519"/>
      <c r="H33" s="519"/>
      <c r="I33" s="519"/>
      <c r="J33" s="519"/>
      <c r="K33" s="538"/>
      <c r="L33" s="521"/>
      <c r="M33" s="519"/>
      <c r="N33" s="519"/>
      <c r="O33" s="460"/>
      <c r="P33" s="461" t="s">
        <v>28</v>
      </c>
    </row>
    <row r="34" spans="1:18" s="450" customFormat="1" ht="17.100000000000001" customHeight="1">
      <c r="A34" s="522" t="s">
        <v>2928</v>
      </c>
      <c r="B34" s="537" t="s">
        <v>2960</v>
      </c>
      <c r="C34" s="519"/>
      <c r="D34" s="519"/>
      <c r="E34" s="519"/>
      <c r="F34" s="519"/>
      <c r="G34" s="519"/>
      <c r="H34" s="519"/>
      <c r="I34" s="519"/>
      <c r="J34" s="519"/>
      <c r="K34" s="538" t="s">
        <v>2918</v>
      </c>
      <c r="L34" s="519"/>
      <c r="M34" s="519"/>
      <c r="N34" s="519"/>
      <c r="O34" s="460"/>
      <c r="P34" s="461" t="s">
        <v>28</v>
      </c>
    </row>
    <row r="35" spans="1:18" ht="17.100000000000001" customHeight="1">
      <c r="A35" s="462" t="s">
        <v>2931</v>
      </c>
      <c r="B35" s="537" t="s">
        <v>2932</v>
      </c>
      <c r="C35" s="539"/>
      <c r="D35" s="539"/>
      <c r="E35" s="539"/>
      <c r="F35" s="539"/>
      <c r="G35" s="539"/>
      <c r="H35" s="539"/>
      <c r="I35" s="539"/>
      <c r="J35" s="539"/>
      <c r="K35" s="538" t="s">
        <v>2918</v>
      </c>
      <c r="L35" s="539"/>
      <c r="M35" s="539"/>
      <c r="N35" s="539"/>
      <c r="O35" s="460"/>
      <c r="P35" s="461" t="s">
        <v>28</v>
      </c>
    </row>
    <row r="36" spans="1:18" ht="17.100000000000001" customHeight="1">
      <c r="A36" s="462" t="s">
        <v>2925</v>
      </c>
      <c r="B36" s="540" t="s">
        <v>2934</v>
      </c>
      <c r="C36" s="541"/>
      <c r="D36" s="541"/>
      <c r="E36" s="541"/>
      <c r="F36" s="541"/>
      <c r="G36" s="541"/>
      <c r="H36" s="541"/>
      <c r="I36" s="541"/>
      <c r="J36" s="541"/>
      <c r="K36" s="542" t="s">
        <v>2918</v>
      </c>
      <c r="L36" s="541"/>
      <c r="M36" s="541"/>
      <c r="N36" s="541"/>
      <c r="O36" s="460"/>
      <c r="P36" s="467" t="s">
        <v>28</v>
      </c>
    </row>
    <row r="37" spans="1:18" ht="17.100000000000001" customHeight="1">
      <c r="A37" s="527" t="s">
        <v>2936</v>
      </c>
      <c r="B37" s="532" t="s">
        <v>2937</v>
      </c>
      <c r="C37" s="528"/>
      <c r="D37" s="528"/>
      <c r="E37" s="528"/>
      <c r="F37" s="528"/>
      <c r="G37" s="528"/>
      <c r="H37" s="528"/>
      <c r="I37" s="528"/>
      <c r="J37" s="528"/>
      <c r="K37" s="533" t="s">
        <v>2918</v>
      </c>
      <c r="L37" s="528"/>
      <c r="M37" s="528"/>
      <c r="N37" s="528"/>
      <c r="O37" s="448"/>
      <c r="P37" s="449" t="s">
        <v>28</v>
      </c>
    </row>
    <row r="38" spans="1:18" ht="17.100000000000001" customHeight="1">
      <c r="A38" s="527" t="s">
        <v>2936</v>
      </c>
      <c r="B38" s="532" t="s">
        <v>2939</v>
      </c>
      <c r="C38" s="528"/>
      <c r="D38" s="528"/>
      <c r="E38" s="528"/>
      <c r="F38" s="528"/>
      <c r="G38" s="528"/>
      <c r="H38" s="528"/>
      <c r="I38" s="528"/>
      <c r="J38" s="528"/>
      <c r="K38" s="533" t="s">
        <v>2918</v>
      </c>
      <c r="L38" s="528"/>
      <c r="M38" s="528"/>
      <c r="N38" s="528"/>
      <c r="O38" s="448"/>
      <c r="P38" s="449" t="s">
        <v>28</v>
      </c>
    </row>
    <row r="39" spans="1:18" ht="17.100000000000001" customHeight="1">
      <c r="A39" s="527" t="s">
        <v>2936</v>
      </c>
      <c r="B39" s="532" t="s">
        <v>2941</v>
      </c>
      <c r="C39" s="528"/>
      <c r="D39" s="528"/>
      <c r="E39" s="528"/>
      <c r="F39" s="528"/>
      <c r="G39" s="528"/>
      <c r="H39" s="528"/>
      <c r="I39" s="528"/>
      <c r="J39" s="528"/>
      <c r="K39" s="533" t="s">
        <v>2918</v>
      </c>
      <c r="L39" s="528"/>
      <c r="M39" s="528"/>
      <c r="N39" s="528"/>
      <c r="O39" s="448"/>
      <c r="P39" s="449" t="s">
        <v>28</v>
      </c>
    </row>
    <row r="40" spans="1:18" ht="16.5" customHeight="1">
      <c r="A40" s="527" t="s">
        <v>2891</v>
      </c>
      <c r="B40" s="532" t="s">
        <v>2943</v>
      </c>
      <c r="C40" s="528"/>
      <c r="D40" s="528"/>
      <c r="E40" s="528"/>
      <c r="F40" s="528"/>
      <c r="G40" s="528"/>
      <c r="H40" s="528"/>
      <c r="I40" s="528"/>
      <c r="J40" s="528"/>
      <c r="K40" s="533"/>
      <c r="L40" s="528"/>
      <c r="M40" s="528"/>
      <c r="N40" s="528"/>
      <c r="O40" s="448"/>
      <c r="P40" s="449" t="s">
        <v>28</v>
      </c>
    </row>
    <row r="41" spans="1:18" ht="17.100000000000001" customHeight="1">
      <c r="A41" s="527" t="s">
        <v>2891</v>
      </c>
      <c r="B41" s="532" t="s">
        <v>3054</v>
      </c>
      <c r="C41" s="528"/>
      <c r="D41" s="528"/>
      <c r="E41" s="528"/>
      <c r="F41" s="528"/>
      <c r="G41" s="528"/>
      <c r="H41" s="528"/>
      <c r="I41" s="528"/>
      <c r="J41" s="528"/>
      <c r="K41" s="533"/>
      <c r="L41" s="528"/>
      <c r="M41" s="528"/>
      <c r="N41" s="530"/>
      <c r="O41" s="448"/>
      <c r="P41" s="449" t="s">
        <v>28</v>
      </c>
    </row>
    <row r="42" spans="1:18" s="450" customFormat="1" ht="15.95" customHeight="1">
      <c r="A42" s="527" t="s">
        <v>2891</v>
      </c>
      <c r="B42" s="532" t="s">
        <v>2947</v>
      </c>
      <c r="C42" s="514"/>
      <c r="D42" s="514"/>
      <c r="E42" s="543"/>
      <c r="F42" s="543"/>
      <c r="G42" s="543"/>
      <c r="H42" s="543"/>
      <c r="I42" s="514"/>
      <c r="J42" s="514"/>
      <c r="K42" s="533" t="s">
        <v>2918</v>
      </c>
      <c r="L42" s="514"/>
      <c r="M42" s="514"/>
      <c r="N42" s="514"/>
      <c r="O42" s="448"/>
      <c r="P42" s="449" t="s">
        <v>28</v>
      </c>
    </row>
    <row r="43" spans="1:18" s="429" customFormat="1" ht="4.5" customHeight="1">
      <c r="A43" s="471"/>
      <c r="B43" s="450"/>
      <c r="C43" s="472"/>
      <c r="I43" s="473"/>
      <c r="J43" s="473"/>
      <c r="K43" s="450"/>
      <c r="O43" s="474"/>
      <c r="P43" s="474"/>
    </row>
    <row r="44" spans="1:18" s="429" customFormat="1" ht="16.5" customHeight="1">
      <c r="A44" s="1568" t="s">
        <v>5</v>
      </c>
      <c r="B44" s="544" t="s">
        <v>3079</v>
      </c>
      <c r="C44" s="476"/>
      <c r="D44" s="477"/>
      <c r="E44" s="477"/>
      <c r="F44" s="477"/>
      <c r="G44" s="477"/>
      <c r="H44" s="477"/>
      <c r="I44" s="478"/>
      <c r="J44" s="478"/>
      <c r="K44" s="545" t="s">
        <v>3080</v>
      </c>
      <c r="L44" s="477"/>
      <c r="M44" s="477"/>
      <c r="N44" s="477"/>
      <c r="O44" s="479"/>
      <c r="P44" s="449" t="s">
        <v>28</v>
      </c>
    </row>
    <row r="45" spans="1:18" s="429" customFormat="1" ht="16.5" customHeight="1">
      <c r="A45" s="1569"/>
      <c r="B45" s="540"/>
      <c r="C45" s="480"/>
      <c r="D45" s="481"/>
      <c r="E45" s="465"/>
      <c r="F45" s="465"/>
      <c r="G45" s="465"/>
      <c r="H45" s="465"/>
      <c r="I45" s="482"/>
      <c r="J45" s="482"/>
      <c r="K45" s="546" t="s">
        <v>3081</v>
      </c>
      <c r="L45" s="465"/>
      <c r="M45" s="465"/>
      <c r="N45" s="465"/>
      <c r="O45" s="483"/>
      <c r="P45" s="449" t="s">
        <v>28</v>
      </c>
    </row>
    <row r="46" spans="1:18" ht="7.5" customHeight="1">
      <c r="A46" s="471"/>
      <c r="B46" s="450"/>
      <c r="O46" s="424"/>
      <c r="P46" s="424"/>
      <c r="Q46" s="433"/>
      <c r="R46" s="433"/>
    </row>
    <row r="47" spans="1:18" ht="15" customHeight="1">
      <c r="A47" s="472" t="s">
        <v>3058</v>
      </c>
      <c r="B47" s="429" t="s">
        <v>3059</v>
      </c>
      <c r="C47" s="487"/>
      <c r="I47" s="433"/>
      <c r="J47" s="433"/>
      <c r="O47" s="424"/>
      <c r="P47" s="424"/>
    </row>
    <row r="48" spans="1:18" ht="15" customHeight="1">
      <c r="A48" s="472"/>
      <c r="B48" s="429" t="s">
        <v>3060</v>
      </c>
      <c r="C48" s="487"/>
      <c r="I48" s="433"/>
      <c r="J48" s="433"/>
      <c r="O48" s="424"/>
      <c r="P48" s="424"/>
    </row>
    <row r="49" spans="1:16" ht="15" customHeight="1">
      <c r="A49" s="472" t="s">
        <v>3061</v>
      </c>
      <c r="B49" s="429" t="s">
        <v>3062</v>
      </c>
      <c r="C49" s="487"/>
      <c r="I49" s="433"/>
      <c r="J49" s="433"/>
      <c r="O49" s="424"/>
      <c r="P49" s="424"/>
    </row>
  </sheetData>
  <mergeCells count="23">
    <mergeCell ref="A26:A27"/>
    <mergeCell ref="A29:A31"/>
    <mergeCell ref="A44:A45"/>
    <mergeCell ref="B18:F18"/>
    <mergeCell ref="L18:P18"/>
    <mergeCell ref="A20:P20"/>
    <mergeCell ref="A21:A22"/>
    <mergeCell ref="B21:N22"/>
    <mergeCell ref="O21:O22"/>
    <mergeCell ref="P21:P22"/>
    <mergeCell ref="B17:F17"/>
    <mergeCell ref="L17:P17"/>
    <mergeCell ref="M1:P1"/>
    <mergeCell ref="A2:C3"/>
    <mergeCell ref="M2:P2"/>
    <mergeCell ref="M3:P4"/>
    <mergeCell ref="M5:P6"/>
    <mergeCell ref="A9:P10"/>
    <mergeCell ref="A12:P12"/>
    <mergeCell ref="B13:P13"/>
    <mergeCell ref="B14:P14"/>
    <mergeCell ref="B15:P15"/>
    <mergeCell ref="B16:F16"/>
  </mergeCells>
  <phoneticPr fontId="139"/>
  <dataValidations count="4">
    <dataValidation type="list" allowBlank="1" showInputMessage="1" showErrorMessage="1" sqref="M3" xr:uid="{00000000-0002-0000-1000-000000000000}">
      <formula1>"　,1,2,3,4,5,6,7,8,9,10,11,12"</formula1>
    </dataValidation>
    <dataValidation type="list" allowBlank="1" showInputMessage="1" showErrorMessage="1" sqref="M5" xr:uid="{00000000-0002-0000-1000-000001000000}">
      <formula1>"　,1,2,3,4,5,6,7,8,9,10,11,12,13,14,15,16,17,18,19,20,21,22,23,24,25,26,27,28,29,30,31"</formula1>
    </dataValidation>
    <dataValidation type="list" allowBlank="1" showInputMessage="1" showErrorMessage="1" sqref="P43" xr:uid="{00000000-0002-0000-1000-000002000000}">
      <formula1>$J$22:$J$23</formula1>
    </dataValidation>
    <dataValidation type="list" allowBlank="1" showInputMessage="1" showErrorMessage="1" sqref="O43" xr:uid="{00000000-0002-0000-1000-000003000000}">
      <formula1>$J$22:$J$22</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
                <anchor moveWithCells="1">
                  <from>
                    <xdr:col>14</xdr:col>
                    <xdr:colOff>104775</xdr:colOff>
                    <xdr:row>22</xdr:row>
                    <xdr:rowOff>38100</xdr:rowOff>
                  </from>
                  <to>
                    <xdr:col>14</xdr:col>
                    <xdr:colOff>409575</xdr:colOff>
                    <xdr:row>23</xdr:row>
                    <xdr:rowOff>38100</xdr:rowOff>
                  </to>
                </anchor>
              </controlPr>
            </control>
          </mc:Choice>
        </mc:AlternateContent>
        <mc:AlternateContent xmlns:mc="http://schemas.openxmlformats.org/markup-compatibility/2006">
          <mc:Choice Requires="x14">
            <control shapeId="38914" r:id="rId5" name="Check Box 2">
              <controlPr defaultSize="0" autoFill="0" autoLine="0" autoPict="0" altText="">
                <anchor moveWithCells="1">
                  <from>
                    <xdr:col>14</xdr:col>
                    <xdr:colOff>104775</xdr:colOff>
                    <xdr:row>23</xdr:row>
                    <xdr:rowOff>38100</xdr:rowOff>
                  </from>
                  <to>
                    <xdr:col>14</xdr:col>
                    <xdr:colOff>409575</xdr:colOff>
                    <xdr:row>24</xdr:row>
                    <xdr:rowOff>38100</xdr:rowOff>
                  </to>
                </anchor>
              </controlPr>
            </control>
          </mc:Choice>
        </mc:AlternateContent>
        <mc:AlternateContent xmlns:mc="http://schemas.openxmlformats.org/markup-compatibility/2006">
          <mc:Choice Requires="x14">
            <control shapeId="38915" r:id="rId6" name="Check Box 3">
              <controlPr defaultSize="0" autoFill="0" autoLine="0" autoPict="0" altText="">
                <anchor moveWithCells="1">
                  <from>
                    <xdr:col>14</xdr:col>
                    <xdr:colOff>104775</xdr:colOff>
                    <xdr:row>24</xdr:row>
                    <xdr:rowOff>38100</xdr:rowOff>
                  </from>
                  <to>
                    <xdr:col>14</xdr:col>
                    <xdr:colOff>409575</xdr:colOff>
                    <xdr:row>25</xdr:row>
                    <xdr:rowOff>38100</xdr:rowOff>
                  </to>
                </anchor>
              </controlPr>
            </control>
          </mc:Choice>
        </mc:AlternateContent>
        <mc:AlternateContent xmlns:mc="http://schemas.openxmlformats.org/markup-compatibility/2006">
          <mc:Choice Requires="x14">
            <control shapeId="38916" r:id="rId7" name="Check Box 4">
              <controlPr defaultSize="0" autoFill="0" autoLine="0" autoPict="0" altText="">
                <anchor moveWithCells="1">
                  <from>
                    <xdr:col>14</xdr:col>
                    <xdr:colOff>104775</xdr:colOff>
                    <xdr:row>26</xdr:row>
                    <xdr:rowOff>38100</xdr:rowOff>
                  </from>
                  <to>
                    <xdr:col>14</xdr:col>
                    <xdr:colOff>409575</xdr:colOff>
                    <xdr:row>27</xdr:row>
                    <xdr:rowOff>38100</xdr:rowOff>
                  </to>
                </anchor>
              </controlPr>
            </control>
          </mc:Choice>
        </mc:AlternateContent>
        <mc:AlternateContent xmlns:mc="http://schemas.openxmlformats.org/markup-compatibility/2006">
          <mc:Choice Requires="x14">
            <control shapeId="38917" r:id="rId8" name="Check Box 5">
              <controlPr defaultSize="0" autoFill="0" autoLine="0" autoPict="0" altText="">
                <anchor moveWithCells="1">
                  <from>
                    <xdr:col>14</xdr:col>
                    <xdr:colOff>104775</xdr:colOff>
                    <xdr:row>27</xdr:row>
                    <xdr:rowOff>38100</xdr:rowOff>
                  </from>
                  <to>
                    <xdr:col>14</xdr:col>
                    <xdr:colOff>409575</xdr:colOff>
                    <xdr:row>28</xdr:row>
                    <xdr:rowOff>38100</xdr:rowOff>
                  </to>
                </anchor>
              </controlPr>
            </control>
          </mc:Choice>
        </mc:AlternateContent>
        <mc:AlternateContent xmlns:mc="http://schemas.openxmlformats.org/markup-compatibility/2006">
          <mc:Choice Requires="x14">
            <control shapeId="38918" r:id="rId9" name="Check Box 6">
              <controlPr defaultSize="0" autoFill="0" autoLine="0" autoPict="0" altText="">
                <anchor moveWithCells="1">
                  <from>
                    <xdr:col>14</xdr:col>
                    <xdr:colOff>104775</xdr:colOff>
                    <xdr:row>28</xdr:row>
                    <xdr:rowOff>38100</xdr:rowOff>
                  </from>
                  <to>
                    <xdr:col>14</xdr:col>
                    <xdr:colOff>409575</xdr:colOff>
                    <xdr:row>29</xdr:row>
                    <xdr:rowOff>38100</xdr:rowOff>
                  </to>
                </anchor>
              </controlPr>
            </control>
          </mc:Choice>
        </mc:AlternateContent>
        <mc:AlternateContent xmlns:mc="http://schemas.openxmlformats.org/markup-compatibility/2006">
          <mc:Choice Requires="x14">
            <control shapeId="38919" r:id="rId10" name="Check Box 7">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0" r:id="rId11" name="Check Box 8">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1" r:id="rId12" name="Check Box 9">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2" r:id="rId13" name="Check Box 10">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3" r:id="rId14" name="Check Box 11">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4" r:id="rId15" name="Check Box 12">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5" r:id="rId16" name="Check Box 13">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6" r:id="rId17" name="Check Box 14">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7" r:id="rId18" name="Check Box 15">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8" r:id="rId19" name="Check Box 16">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9" r:id="rId20" name="Check Box 17">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0" r:id="rId21" name="Check Box 18">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1" r:id="rId22" name="Check Box 19">
              <controlPr defaultSize="0" autoFill="0" autoLine="0" autoPict="0" altText="">
                <anchor moveWithCells="1">
                  <from>
                    <xdr:col>14</xdr:col>
                    <xdr:colOff>104775</xdr:colOff>
                    <xdr:row>35</xdr:row>
                    <xdr:rowOff>38100</xdr:rowOff>
                  </from>
                  <to>
                    <xdr:col>14</xdr:col>
                    <xdr:colOff>409575</xdr:colOff>
                    <xdr:row>36</xdr:row>
                    <xdr:rowOff>38100</xdr:rowOff>
                  </to>
                </anchor>
              </controlPr>
            </control>
          </mc:Choice>
        </mc:AlternateContent>
        <mc:AlternateContent xmlns:mc="http://schemas.openxmlformats.org/markup-compatibility/2006">
          <mc:Choice Requires="x14">
            <control shapeId="38932" r:id="rId23" name="Check Box 20">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3" r:id="rId24" name="Check Box 21">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4" r:id="rId25" name="Check Box 22">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5" r:id="rId26" name="Check Box 23">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6" r:id="rId27" name="Check Box 24">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7" r:id="rId28" name="Check Box 25">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8" r:id="rId29" name="Check Box 26">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9" r:id="rId30" name="Check Box 27">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0" r:id="rId31" name="Check Box 28">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1" r:id="rId32" name="Check Box 29">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2" r:id="rId33" name="Check Box 30">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3" r:id="rId34" name="Check Box 31">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4" r:id="rId35" name="Check Box 32">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5" r:id="rId36" name="Check Box 33">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6" r:id="rId37" name="Check Box 34">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7" r:id="rId38" name="Check Box 35">
              <controlPr defaultSize="0" autoFill="0" autoLine="0" autoPict="0" altText="">
                <anchor moveWithCells="1">
                  <from>
                    <xdr:col>14</xdr:col>
                    <xdr:colOff>104775</xdr:colOff>
                    <xdr:row>43</xdr:row>
                    <xdr:rowOff>38100</xdr:rowOff>
                  </from>
                  <to>
                    <xdr:col>14</xdr:col>
                    <xdr:colOff>409575</xdr:colOff>
                    <xdr:row>44</xdr:row>
                    <xdr:rowOff>38100</xdr:rowOff>
                  </to>
                </anchor>
              </controlPr>
            </control>
          </mc:Choice>
        </mc:AlternateContent>
        <mc:AlternateContent xmlns:mc="http://schemas.openxmlformats.org/markup-compatibility/2006">
          <mc:Choice Requires="x14">
            <control shapeId="38948" r:id="rId39" name="Check Box 36">
              <controlPr defaultSize="0" autoFill="0" autoLine="0" autoPict="0" altText="">
                <anchor moveWithCells="1">
                  <from>
                    <xdr:col>14</xdr:col>
                    <xdr:colOff>104775</xdr:colOff>
                    <xdr:row>44</xdr:row>
                    <xdr:rowOff>38100</xdr:rowOff>
                  </from>
                  <to>
                    <xdr:col>14</xdr:col>
                    <xdr:colOff>409575</xdr:colOff>
                    <xdr:row>45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E1:G31"/>
  <sheetViews>
    <sheetView workbookViewId="0">
      <selection activeCell="E20" sqref="E20"/>
    </sheetView>
  </sheetViews>
  <sheetFormatPr defaultColWidth="9" defaultRowHeight="18.75" customHeight="1"/>
  <cols>
    <col min="1" max="3" width="2.75" style="14" customWidth="1"/>
    <col min="4" max="4" width="4.125" style="14" customWidth="1"/>
    <col min="5" max="5" width="23.5" style="189" customWidth="1"/>
    <col min="6" max="6" width="9" style="14" customWidth="1"/>
    <col min="7" max="7" width="50.625" style="14" customWidth="1"/>
    <col min="8" max="8" width="9" style="14" customWidth="1"/>
    <col min="9" max="16384" width="9" style="14"/>
  </cols>
  <sheetData>
    <row r="1" spans="5:7" ht="18.75" customHeight="1">
      <c r="E1" s="189" t="s">
        <v>2430</v>
      </c>
      <c r="G1" s="117" t="s">
        <v>2431</v>
      </c>
    </row>
    <row r="2" spans="5:7" ht="18.75" customHeight="1">
      <c r="E2" s="914">
        <v>43711</v>
      </c>
      <c r="F2" t="s">
        <v>2432</v>
      </c>
      <c r="G2" t="s">
        <v>3633</v>
      </c>
    </row>
    <row r="3" spans="5:7" ht="18.75" customHeight="1">
      <c r="E3" s="914"/>
      <c r="F3"/>
      <c r="G3" t="s">
        <v>3634</v>
      </c>
    </row>
    <row r="4" spans="5:7" ht="18.75" customHeight="1">
      <c r="E4" s="914">
        <v>43822</v>
      </c>
      <c r="F4" t="s">
        <v>3635</v>
      </c>
      <c r="G4" t="s">
        <v>3636</v>
      </c>
    </row>
    <row r="5" spans="5:7" ht="18.75" customHeight="1">
      <c r="E5" s="914"/>
      <c r="F5"/>
      <c r="G5"/>
    </row>
    <row r="6" spans="5:7" ht="18.75" customHeight="1">
      <c r="E6" s="914">
        <v>43948</v>
      </c>
      <c r="F6" t="s">
        <v>2432</v>
      </c>
      <c r="G6" t="s">
        <v>3637</v>
      </c>
    </row>
    <row r="7" spans="5:7" ht="18.75" customHeight="1">
      <c r="E7" s="914">
        <v>43949</v>
      </c>
      <c r="F7" t="s">
        <v>2432</v>
      </c>
      <c r="G7" t="s">
        <v>3638</v>
      </c>
    </row>
    <row r="8" spans="5:7" ht="18.75" customHeight="1">
      <c r="E8" s="914"/>
      <c r="F8"/>
      <c r="G8"/>
    </row>
    <row r="9" spans="5:7" ht="18.75" customHeight="1">
      <c r="E9" s="914">
        <v>43958</v>
      </c>
      <c r="F9" t="s">
        <v>2432</v>
      </c>
      <c r="G9" t="s">
        <v>3639</v>
      </c>
    </row>
    <row r="10" spans="5:7" ht="18.75" customHeight="1">
      <c r="E10" s="914">
        <v>43962</v>
      </c>
      <c r="F10" t="s">
        <v>3640</v>
      </c>
      <c r="G10" t="s">
        <v>3641</v>
      </c>
    </row>
    <row r="11" spans="5:7" ht="18.75" customHeight="1">
      <c r="E11" s="189">
        <v>44183</v>
      </c>
      <c r="F11" s="14" t="s">
        <v>3640</v>
      </c>
      <c r="G11" s="14" t="s">
        <v>3642</v>
      </c>
    </row>
    <row r="12" spans="5:7" ht="18.75" customHeight="1">
      <c r="E12" s="914">
        <v>44364</v>
      </c>
      <c r="F12" t="s">
        <v>3635</v>
      </c>
      <c r="G12" t="s">
        <v>3660</v>
      </c>
    </row>
    <row r="13" spans="5:7" ht="18.75" customHeight="1">
      <c r="E13" s="914">
        <v>44369</v>
      </c>
      <c r="F13" t="s">
        <v>3635</v>
      </c>
      <c r="G13" t="s">
        <v>3661</v>
      </c>
    </row>
    <row r="14" spans="5:7" ht="18.75" customHeight="1">
      <c r="E14" s="914">
        <v>44634</v>
      </c>
      <c r="F14" t="s">
        <v>3635</v>
      </c>
      <c r="G14" t="s">
        <v>3716</v>
      </c>
    </row>
    <row r="15" spans="5:7" ht="18.75" customHeight="1">
      <c r="E15" s="914">
        <v>44638</v>
      </c>
      <c r="F15" t="s">
        <v>3635</v>
      </c>
      <c r="G15" t="s">
        <v>3722</v>
      </c>
    </row>
    <row r="16" spans="5:7" ht="18.75" customHeight="1">
      <c r="E16" s="914">
        <v>44642</v>
      </c>
      <c r="F16" t="s">
        <v>3635</v>
      </c>
      <c r="G16" t="s">
        <v>3731</v>
      </c>
    </row>
    <row r="17" spans="5:7" ht="18.75" customHeight="1">
      <c r="E17" s="914">
        <v>44645</v>
      </c>
      <c r="F17" t="s">
        <v>3635</v>
      </c>
      <c r="G17" t="s">
        <v>3732</v>
      </c>
    </row>
    <row r="18" spans="5:7" ht="18.75" customHeight="1">
      <c r="E18" s="914">
        <v>44648</v>
      </c>
      <c r="F18" t="s">
        <v>3635</v>
      </c>
      <c r="G18" t="s">
        <v>3881</v>
      </c>
    </row>
    <row r="19" spans="5:7" ht="18.75" customHeight="1">
      <c r="E19" s="914">
        <v>44648</v>
      </c>
      <c r="F19" t="s">
        <v>3640</v>
      </c>
      <c r="G19" t="s">
        <v>3882</v>
      </c>
    </row>
    <row r="20" spans="5:7" ht="18.75" customHeight="1">
      <c r="E20" s="914">
        <v>44993</v>
      </c>
      <c r="F20" t="s">
        <v>3635</v>
      </c>
      <c r="G20" t="s">
        <v>3882</v>
      </c>
    </row>
    <row r="21" spans="5:7" ht="18.75" customHeight="1">
      <c r="E21" s="914"/>
      <c r="F21"/>
      <c r="G21"/>
    </row>
    <row r="22" spans="5:7" ht="18.75" customHeight="1">
      <c r="E22" s="914"/>
      <c r="F22"/>
      <c r="G22"/>
    </row>
    <row r="23" spans="5:7" ht="18.75" customHeight="1">
      <c r="E23" s="914"/>
      <c r="F23"/>
      <c r="G23"/>
    </row>
    <row r="24" spans="5:7" ht="18.75" customHeight="1">
      <c r="E24" s="914"/>
      <c r="F24"/>
      <c r="G24"/>
    </row>
    <row r="25" spans="5:7" ht="18.75" customHeight="1">
      <c r="E25" s="914"/>
      <c r="F25"/>
      <c r="G25"/>
    </row>
    <row r="26" spans="5:7" ht="18.75" customHeight="1">
      <c r="E26" s="914"/>
      <c r="F26"/>
      <c r="G26"/>
    </row>
    <row r="27" spans="5:7" ht="18.75" customHeight="1">
      <c r="E27" s="914"/>
      <c r="F27"/>
      <c r="G27"/>
    </row>
    <row r="28" spans="5:7" ht="18.75" customHeight="1">
      <c r="E28" s="914"/>
      <c r="F28"/>
      <c r="G28"/>
    </row>
    <row r="29" spans="5:7" ht="18.75" customHeight="1">
      <c r="E29" s="914"/>
      <c r="F29"/>
      <c r="G29"/>
    </row>
    <row r="30" spans="5:7" ht="18.75" customHeight="1">
      <c r="E30" s="914"/>
      <c r="F30"/>
      <c r="G30"/>
    </row>
    <row r="31" spans="5:7" ht="18.75" customHeight="1">
      <c r="E31" s="914"/>
      <c r="F31"/>
      <c r="G31"/>
    </row>
  </sheetData>
  <phoneticPr fontId="139"/>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79992065187536243"/>
    <pageSetUpPr fitToPage="1"/>
  </sheetPr>
  <dimension ref="A1:BE64"/>
  <sheetViews>
    <sheetView zoomScaleNormal="100" zoomScaleSheetLayoutView="93" workbookViewId="0"/>
  </sheetViews>
  <sheetFormatPr defaultColWidth="3.125" defaultRowHeight="15" customHeight="1"/>
  <cols>
    <col min="1" max="1" width="0.875" style="1022" customWidth="1"/>
    <col min="2" max="7" width="3.125" style="1022" customWidth="1"/>
    <col min="8" max="8" width="0.875" style="1022" customWidth="1"/>
    <col min="9" max="29" width="3.125" style="1022" customWidth="1"/>
    <col min="30" max="30" width="0.875" style="1022" customWidth="1"/>
    <col min="31" max="33" width="3.125" style="1022" customWidth="1"/>
    <col min="34" max="34" width="0.875" style="1022" customWidth="1"/>
    <col min="35" max="35" width="3.125" style="1023" customWidth="1"/>
    <col min="36" max="16384" width="3.125" style="1023"/>
  </cols>
  <sheetData>
    <row r="1" spans="1:57" ht="15" customHeight="1">
      <c r="B1" s="1022" t="s">
        <v>3733</v>
      </c>
      <c r="X1" s="1614">
        <v>20220401</v>
      </c>
      <c r="Y1" s="1614"/>
      <c r="Z1" s="1614"/>
      <c r="AA1" s="1614"/>
      <c r="AB1" s="1614"/>
      <c r="AC1" s="1614"/>
      <c r="AD1" s="1614"/>
      <c r="AE1" s="1614"/>
      <c r="AF1" s="1614"/>
      <c r="AG1" s="1614"/>
    </row>
    <row r="2" spans="1:57" ht="21">
      <c r="B2" s="1615" t="s">
        <v>3734</v>
      </c>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row>
    <row r="3" spans="1:57" ht="5.0999999999999996" customHeight="1">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row>
    <row r="4" spans="1:57" ht="15" customHeight="1">
      <c r="L4" s="1023"/>
      <c r="M4" s="1023"/>
      <c r="N4" s="1023"/>
      <c r="O4" s="1023"/>
      <c r="P4" s="1023"/>
      <c r="Q4" s="1023"/>
      <c r="R4" s="1023"/>
      <c r="S4" s="1023"/>
      <c r="T4" s="1023"/>
      <c r="U4" s="1025"/>
      <c r="V4" s="1025"/>
      <c r="W4" s="1025"/>
      <c r="X4" s="1026" t="s">
        <v>3735</v>
      </c>
      <c r="Y4" s="1026"/>
      <c r="Z4" s="1027" t="s">
        <v>3736</v>
      </c>
      <c r="AA4" s="1028"/>
      <c r="AB4" s="1029" t="s">
        <v>371</v>
      </c>
      <c r="AC4" s="1616"/>
      <c r="AD4" s="1617"/>
      <c r="AE4" s="1029" t="s">
        <v>4</v>
      </c>
      <c r="AF4" s="1028"/>
      <c r="AG4" s="1029" t="s">
        <v>373</v>
      </c>
      <c r="AH4" s="1025"/>
      <c r="AI4" s="1025"/>
    </row>
    <row r="5" spans="1:57" ht="5.0999999999999996" customHeight="1">
      <c r="T5" s="1030"/>
    </row>
    <row r="6" spans="1:57" ht="15" customHeight="1">
      <c r="B6" s="1022" t="s">
        <v>3737</v>
      </c>
      <c r="T6" s="1030"/>
    </row>
    <row r="7" spans="1:57" ht="15" customHeight="1">
      <c r="B7" s="1022" t="s">
        <v>3738</v>
      </c>
    </row>
    <row r="8" spans="1:57" ht="5.0999999999999996" customHeight="1"/>
    <row r="9" spans="1:57" ht="19.5" customHeight="1" thickBot="1">
      <c r="A9" s="1031"/>
      <c r="B9" s="1032" t="s">
        <v>3739</v>
      </c>
      <c r="C9" s="1032"/>
      <c r="D9" s="1032"/>
      <c r="E9" s="1032"/>
      <c r="F9" s="1032"/>
      <c r="G9" s="1032"/>
      <c r="H9" s="1031"/>
      <c r="I9" s="1618" t="str">
        <f>cst_wskakunin_BUILD__address</f>
        <v/>
      </c>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033"/>
    </row>
    <row r="10" spans="1:57" ht="15" customHeight="1" thickTop="1">
      <c r="A10" s="1031"/>
      <c r="B10" s="1032" t="s">
        <v>3740</v>
      </c>
      <c r="C10" s="1032"/>
      <c r="D10" s="1032"/>
      <c r="E10" s="1032"/>
      <c r="F10" s="1032"/>
      <c r="G10" s="1032"/>
      <c r="H10" s="1031"/>
      <c r="I10" s="1034"/>
      <c r="J10" s="1035" t="s">
        <v>3741</v>
      </c>
      <c r="K10" s="1036" t="s">
        <v>401</v>
      </c>
      <c r="L10" s="1034"/>
      <c r="M10" s="1035" t="s">
        <v>362</v>
      </c>
      <c r="N10" s="1035"/>
      <c r="O10" s="1035"/>
      <c r="P10" s="1035"/>
      <c r="Q10" s="1034"/>
      <c r="R10" s="1035" t="s">
        <v>363</v>
      </c>
      <c r="S10" s="1035"/>
      <c r="T10" s="1035"/>
      <c r="U10" s="1035"/>
      <c r="V10" s="1035"/>
      <c r="W10" s="1034"/>
      <c r="X10" s="1035" t="s">
        <v>3742</v>
      </c>
      <c r="Y10" s="1035"/>
      <c r="Z10" s="1035" t="s">
        <v>6</v>
      </c>
      <c r="AA10" s="1035"/>
      <c r="AB10" s="1035"/>
      <c r="AC10" s="1037"/>
      <c r="AD10" s="1035"/>
      <c r="AE10" s="1034"/>
      <c r="AF10" s="1035" t="s">
        <v>3743</v>
      </c>
      <c r="AG10" s="1035"/>
      <c r="AH10" s="1038"/>
      <c r="AJ10" s="1039" t="s">
        <v>3744</v>
      </c>
      <c r="AK10" s="1040"/>
      <c r="AL10" s="1040"/>
      <c r="AM10" s="1040"/>
      <c r="AN10" s="1040"/>
      <c r="AO10" s="1040"/>
      <c r="AP10" s="1041"/>
      <c r="AQ10" s="1041"/>
      <c r="AR10" s="1041"/>
      <c r="AS10" s="1041"/>
      <c r="AT10" s="1041"/>
      <c r="AU10" s="1041"/>
      <c r="AV10" s="1041"/>
      <c r="AW10" s="1041"/>
      <c r="AX10" s="1041"/>
      <c r="AY10" s="1041"/>
      <c r="AZ10" s="1041"/>
      <c r="BA10" s="1041"/>
      <c r="BB10" s="1041"/>
      <c r="BC10" s="1041"/>
      <c r="BD10" s="1041"/>
      <c r="BE10" s="1042"/>
    </row>
    <row r="11" spans="1:57" ht="15" customHeight="1">
      <c r="A11" s="1043"/>
      <c r="B11" s="1022" t="s">
        <v>126</v>
      </c>
      <c r="H11" s="1043"/>
      <c r="I11" s="1044"/>
      <c r="J11" s="1045" t="s">
        <v>3745</v>
      </c>
      <c r="M11" s="1046"/>
      <c r="N11" s="1047" t="s">
        <v>3746</v>
      </c>
      <c r="O11" s="1046"/>
      <c r="P11" s="1022" t="s">
        <v>6</v>
      </c>
      <c r="Q11" s="1022" t="s">
        <v>3747</v>
      </c>
      <c r="T11" s="1044"/>
      <c r="U11" s="1022" t="s">
        <v>3748</v>
      </c>
      <c r="V11" s="1619" t="s">
        <v>376</v>
      </c>
      <c r="W11" s="1619"/>
      <c r="X11" s="1022" t="s">
        <v>3749</v>
      </c>
      <c r="Y11" s="1044"/>
      <c r="Z11" s="1022" t="s">
        <v>3750</v>
      </c>
      <c r="AA11" s="1022" t="s">
        <v>3751</v>
      </c>
      <c r="AB11" s="1022" t="s">
        <v>3752</v>
      </c>
      <c r="AH11" s="1048"/>
      <c r="AJ11" s="1612">
        <v>42795</v>
      </c>
      <c r="AK11" s="1613"/>
      <c r="AL11" s="1613"/>
      <c r="AM11" s="1613"/>
      <c r="AN11" s="1613"/>
      <c r="AO11" s="1049" t="s">
        <v>2730</v>
      </c>
      <c r="AP11" s="1050"/>
      <c r="AQ11" s="1050"/>
      <c r="AR11" s="1050"/>
      <c r="AS11" s="1050"/>
      <c r="AT11" s="1050"/>
      <c r="AU11" s="1050"/>
      <c r="AV11" s="1050"/>
      <c r="AW11" s="1050"/>
      <c r="AX11" s="1050"/>
      <c r="AY11" s="1050"/>
      <c r="AZ11" s="1050"/>
      <c r="BA11" s="1050"/>
      <c r="BB11" s="1050"/>
      <c r="BC11" s="1050"/>
      <c r="BD11" s="1050"/>
      <c r="BE11" s="1051"/>
    </row>
    <row r="12" spans="1:57" ht="15" customHeight="1">
      <c r="A12" s="1043"/>
      <c r="B12" s="1052" t="s">
        <v>3753</v>
      </c>
      <c r="H12" s="1043"/>
      <c r="I12" s="1044"/>
      <c r="J12" s="1045" t="s">
        <v>3754</v>
      </c>
      <c r="M12" s="1046"/>
      <c r="N12" s="1047" t="s">
        <v>3746</v>
      </c>
      <c r="O12" s="1046"/>
      <c r="P12" s="1022" t="s">
        <v>6</v>
      </c>
      <c r="AH12" s="1048"/>
      <c r="AJ12" s="1612">
        <v>43556</v>
      </c>
      <c r="AK12" s="1613"/>
      <c r="AL12" s="1613"/>
      <c r="AM12" s="1613"/>
      <c r="AN12" s="1613"/>
      <c r="AO12" s="1049" t="s">
        <v>3755</v>
      </c>
      <c r="AP12" s="1050"/>
      <c r="AQ12" s="1050"/>
      <c r="AR12" s="1050"/>
      <c r="AS12" s="1050"/>
      <c r="AT12" s="1050"/>
      <c r="AU12" s="1050"/>
      <c r="AV12" s="1050"/>
      <c r="AW12" s="1050"/>
      <c r="AX12" s="1050"/>
      <c r="AY12" s="1050"/>
      <c r="AZ12" s="1050"/>
      <c r="BA12" s="1050"/>
      <c r="BB12" s="1050"/>
      <c r="BC12" s="1050"/>
      <c r="BD12" s="1050"/>
      <c r="BE12" s="1051"/>
    </row>
    <row r="13" spans="1:57" ht="15" customHeight="1">
      <c r="A13" s="1043"/>
      <c r="H13" s="1043"/>
      <c r="I13" s="1044"/>
      <c r="J13" s="1620" t="s">
        <v>3756</v>
      </c>
      <c r="K13" s="1620"/>
      <c r="L13" s="1620"/>
      <c r="M13" s="1046"/>
      <c r="N13" s="1047" t="s">
        <v>3746</v>
      </c>
      <c r="O13" s="1046"/>
      <c r="P13" s="1022" t="s">
        <v>6</v>
      </c>
      <c r="Q13" s="1044"/>
      <c r="R13" s="1045" t="s">
        <v>3757</v>
      </c>
      <c r="U13" s="1046"/>
      <c r="V13" s="1047" t="s">
        <v>3746</v>
      </c>
      <c r="W13" s="1046"/>
      <c r="X13" s="1022" t="s">
        <v>6</v>
      </c>
      <c r="Y13" s="1044"/>
      <c r="Z13" s="1045" t="s">
        <v>3758</v>
      </c>
      <c r="AC13" s="1046"/>
      <c r="AE13" s="1047" t="s">
        <v>3746</v>
      </c>
      <c r="AF13" s="1046"/>
      <c r="AG13" s="1022" t="s">
        <v>6</v>
      </c>
      <c r="AH13" s="1048"/>
      <c r="AJ13" s="1053"/>
      <c r="AK13" s="1050"/>
      <c r="AL13" s="1050"/>
      <c r="AM13" s="1050"/>
      <c r="AN13" s="1050"/>
      <c r="AO13" s="1050"/>
      <c r="AP13" s="1049" t="s">
        <v>3759</v>
      </c>
      <c r="AQ13" s="1050"/>
      <c r="AR13" s="1050"/>
      <c r="AS13" s="1050"/>
      <c r="AT13" s="1050"/>
      <c r="AU13" s="1050"/>
      <c r="AV13" s="1050"/>
      <c r="AW13" s="1050"/>
      <c r="AX13" s="1050"/>
      <c r="AY13" s="1050"/>
      <c r="AZ13" s="1050"/>
      <c r="BA13" s="1050"/>
      <c r="BB13" s="1050"/>
      <c r="BC13" s="1050"/>
      <c r="BD13" s="1050"/>
      <c r="BE13" s="1051"/>
    </row>
    <row r="14" spans="1:57" ht="15" customHeight="1">
      <c r="A14" s="1043"/>
      <c r="H14" s="1043"/>
      <c r="I14" s="1044"/>
      <c r="J14" s="1620" t="s">
        <v>3760</v>
      </c>
      <c r="K14" s="1620"/>
      <c r="L14" s="1620"/>
      <c r="M14" s="1046"/>
      <c r="N14" s="1047" t="s">
        <v>3746</v>
      </c>
      <c r="O14" s="1046"/>
      <c r="P14" s="1022" t="s">
        <v>6</v>
      </c>
      <c r="Q14" s="1044"/>
      <c r="R14" s="1045" t="s">
        <v>3761</v>
      </c>
      <c r="U14" s="1046"/>
      <c r="V14" s="1047" t="s">
        <v>3746</v>
      </c>
      <c r="W14" s="1046"/>
      <c r="X14" s="1022" t="s">
        <v>6</v>
      </c>
      <c r="Y14" s="1044"/>
      <c r="Z14" s="1045" t="s">
        <v>3762</v>
      </c>
      <c r="AC14" s="1046"/>
      <c r="AE14" s="1047" t="s">
        <v>3746</v>
      </c>
      <c r="AF14" s="1046"/>
      <c r="AG14" s="1022" t="s">
        <v>6</v>
      </c>
      <c r="AH14" s="1048"/>
      <c r="AJ14" s="1053"/>
      <c r="AK14" s="1050"/>
      <c r="AL14" s="1050"/>
      <c r="AM14" s="1050"/>
      <c r="AN14" s="1050"/>
      <c r="AO14" s="1050"/>
      <c r="AP14" s="1050" t="s">
        <v>3763</v>
      </c>
      <c r="AQ14" s="1050"/>
      <c r="AR14" s="1050"/>
      <c r="AS14" s="1050"/>
      <c r="AT14" s="1050"/>
      <c r="AU14" s="1050"/>
      <c r="AV14" s="1050"/>
      <c r="AW14" s="1050"/>
      <c r="AX14" s="1050"/>
      <c r="AY14" s="1050"/>
      <c r="AZ14" s="1050"/>
      <c r="BA14" s="1050"/>
      <c r="BB14" s="1050"/>
      <c r="BC14" s="1050"/>
      <c r="BD14" s="1050"/>
      <c r="BE14" s="1051"/>
    </row>
    <row r="15" spans="1:57" ht="15" customHeight="1">
      <c r="A15" s="1043"/>
      <c r="H15" s="1043"/>
      <c r="I15" s="1044"/>
      <c r="J15" s="1045" t="s">
        <v>3764</v>
      </c>
      <c r="M15" s="1046"/>
      <c r="N15" s="1047" t="s">
        <v>3746</v>
      </c>
      <c r="O15" s="1046"/>
      <c r="P15" s="1022" t="s">
        <v>6</v>
      </c>
      <c r="Q15" s="1044"/>
      <c r="R15" s="1045" t="s">
        <v>3765</v>
      </c>
      <c r="U15" s="1046"/>
      <c r="V15" s="1047" t="s">
        <v>3746</v>
      </c>
      <c r="W15" s="1046"/>
      <c r="X15" s="1022" t="s">
        <v>6</v>
      </c>
      <c r="Y15" s="1044"/>
      <c r="Z15" s="1045" t="s">
        <v>3766</v>
      </c>
      <c r="AC15" s="1046"/>
      <c r="AE15" s="1047" t="s">
        <v>3746</v>
      </c>
      <c r="AF15" s="1046"/>
      <c r="AG15" s="1022" t="s">
        <v>6</v>
      </c>
      <c r="AH15" s="1048"/>
      <c r="AJ15" s="1053"/>
      <c r="AK15" s="1050"/>
      <c r="AL15" s="1050"/>
      <c r="AM15" s="1050"/>
      <c r="AN15" s="1050"/>
      <c r="AO15" s="1050"/>
      <c r="AP15" s="1049" t="s">
        <v>3767</v>
      </c>
      <c r="AQ15" s="1050"/>
      <c r="AR15" s="1050"/>
      <c r="AS15" s="1050"/>
      <c r="AT15" s="1050"/>
      <c r="AU15" s="1050"/>
      <c r="AV15" s="1050"/>
      <c r="AW15" s="1050"/>
      <c r="AX15" s="1050"/>
      <c r="AY15" s="1050"/>
      <c r="AZ15" s="1050"/>
      <c r="BA15" s="1050"/>
      <c r="BB15" s="1050"/>
      <c r="BC15" s="1050"/>
      <c r="BD15" s="1050"/>
      <c r="BE15" s="1051"/>
    </row>
    <row r="16" spans="1:57" ht="15" customHeight="1">
      <c r="A16" s="1043"/>
      <c r="H16" s="1043"/>
      <c r="I16" s="1044"/>
      <c r="J16" s="1045" t="s">
        <v>3768</v>
      </c>
      <c r="M16" s="1046"/>
      <c r="N16" s="1047" t="s">
        <v>3746</v>
      </c>
      <c r="O16" s="1046"/>
      <c r="P16" s="1022" t="s">
        <v>6</v>
      </c>
      <c r="Q16" s="1044"/>
      <c r="R16" s="1045" t="s">
        <v>3769</v>
      </c>
      <c r="U16" s="1046"/>
      <c r="V16" s="1047" t="s">
        <v>3746</v>
      </c>
      <c r="W16" s="1046"/>
      <c r="X16" s="1022" t="s">
        <v>6</v>
      </c>
      <c r="Y16" s="1044"/>
      <c r="Z16" s="1045" t="s">
        <v>3770</v>
      </c>
      <c r="AC16" s="1046"/>
      <c r="AE16" s="1047" t="s">
        <v>3746</v>
      </c>
      <c r="AF16" s="1046"/>
      <c r="AG16" s="1022" t="s">
        <v>6</v>
      </c>
      <c r="AH16" s="1048"/>
      <c r="AJ16" s="1612">
        <v>44652</v>
      </c>
      <c r="AK16" s="1613"/>
      <c r="AL16" s="1613"/>
      <c r="AM16" s="1613"/>
      <c r="AN16" s="1613"/>
      <c r="AO16" s="1049" t="s">
        <v>3771</v>
      </c>
      <c r="BE16" s="1054"/>
    </row>
    <row r="17" spans="1:57" ht="15" customHeight="1">
      <c r="A17" s="1031"/>
      <c r="B17" s="1032" t="s">
        <v>3772</v>
      </c>
      <c r="C17" s="1032"/>
      <c r="D17" s="1032"/>
      <c r="E17" s="1032"/>
      <c r="F17" s="1032"/>
      <c r="G17" s="1032"/>
      <c r="H17" s="1031"/>
      <c r="I17" s="1055"/>
      <c r="J17" s="1032" t="s">
        <v>365</v>
      </c>
      <c r="K17" s="1032"/>
      <c r="L17" s="1032"/>
      <c r="M17" s="1032"/>
      <c r="N17" s="1032"/>
      <c r="O17" s="1032"/>
      <c r="P17" s="1055"/>
      <c r="Q17" s="1032" t="s">
        <v>366</v>
      </c>
      <c r="R17" s="1032"/>
      <c r="S17" s="1032"/>
      <c r="T17" s="1032"/>
      <c r="U17" s="1032"/>
      <c r="V17" s="1032"/>
      <c r="W17" s="1055"/>
      <c r="X17" s="1032" t="s">
        <v>367</v>
      </c>
      <c r="Y17" s="1032"/>
      <c r="Z17" s="1056"/>
      <c r="AA17" s="1032"/>
      <c r="AB17" s="1032"/>
      <c r="AC17" s="1032"/>
      <c r="AD17" s="1057"/>
      <c r="AE17" s="1058"/>
      <c r="AF17" s="1059" t="s">
        <v>125</v>
      </c>
      <c r="AG17" s="1032"/>
      <c r="AH17" s="1038"/>
      <c r="AJ17" s="1060"/>
      <c r="AP17" s="1050" t="s">
        <v>3773</v>
      </c>
      <c r="BE17" s="1054"/>
    </row>
    <row r="18" spans="1:57" ht="15" customHeight="1">
      <c r="A18" s="1043"/>
      <c r="B18" s="1022" t="s">
        <v>3774</v>
      </c>
      <c r="H18" s="1043"/>
      <c r="I18" s="1044"/>
      <c r="J18" s="1022" t="s">
        <v>3775</v>
      </c>
      <c r="O18" s="1061" t="s">
        <v>3776</v>
      </c>
      <c r="P18" s="1608" t="s">
        <v>376</v>
      </c>
      <c r="Q18" s="1608"/>
      <c r="R18" s="1608"/>
      <c r="S18" s="1022" t="s">
        <v>3751</v>
      </c>
      <c r="AD18" s="1057"/>
      <c r="AE18" s="1058"/>
      <c r="AF18" s="1062" t="s">
        <v>3750</v>
      </c>
      <c r="AH18" s="1048"/>
      <c r="AJ18" s="1060"/>
      <c r="AP18" s="1050" t="s">
        <v>3777</v>
      </c>
      <c r="BE18" s="1054"/>
    </row>
    <row r="19" spans="1:57" ht="15" customHeight="1">
      <c r="A19" s="1043"/>
      <c r="H19" s="1043"/>
      <c r="I19" s="1044"/>
      <c r="J19" s="1022" t="s">
        <v>3778</v>
      </c>
      <c r="O19" s="1061" t="s">
        <v>3776</v>
      </c>
      <c r="P19" s="1608"/>
      <c r="Q19" s="1608"/>
      <c r="R19" s="1608"/>
      <c r="S19" s="1608"/>
      <c r="T19" s="1608"/>
      <c r="U19" s="1608"/>
      <c r="V19" s="1608"/>
      <c r="W19" s="1608"/>
      <c r="X19" s="1608"/>
      <c r="Y19" s="1608"/>
      <c r="Z19" s="1022" t="s">
        <v>3751</v>
      </c>
      <c r="AD19" s="1063"/>
      <c r="AH19" s="1048"/>
      <c r="AJ19" s="1060"/>
      <c r="AP19" s="1050" t="s">
        <v>3779</v>
      </c>
      <c r="BE19" s="1054"/>
    </row>
    <row r="20" spans="1:57" ht="15" customHeight="1">
      <c r="A20" s="1043"/>
      <c r="H20" s="1043"/>
      <c r="I20" s="1044"/>
      <c r="J20" s="1022" t="s">
        <v>3780</v>
      </c>
      <c r="P20" s="1044"/>
      <c r="Q20" s="1022" t="s">
        <v>3781</v>
      </c>
      <c r="W20" s="1044"/>
      <c r="X20" s="1064" t="s">
        <v>3782</v>
      </c>
      <c r="AD20" s="1063"/>
      <c r="AH20" s="1048"/>
      <c r="AJ20" s="1060"/>
      <c r="AP20" s="1050" t="s">
        <v>3783</v>
      </c>
      <c r="BE20" s="1054"/>
    </row>
    <row r="21" spans="1:57" ht="15" customHeight="1">
      <c r="A21" s="1043"/>
      <c r="H21" s="1043"/>
      <c r="I21" s="1044"/>
      <c r="J21" s="1022" t="s">
        <v>3784</v>
      </c>
      <c r="P21" s="1044"/>
      <c r="Q21" s="1022" t="s">
        <v>3785</v>
      </c>
      <c r="AB21" s="1065"/>
      <c r="AD21" s="1063"/>
      <c r="AH21" s="1048"/>
      <c r="AJ21" s="1060"/>
      <c r="AP21" s="1050" t="s">
        <v>3786</v>
      </c>
      <c r="BE21" s="1054"/>
    </row>
    <row r="22" spans="1:57" ht="15" customHeight="1">
      <c r="A22" s="1043"/>
      <c r="H22" s="1043"/>
      <c r="I22" s="1044"/>
      <c r="J22" s="1022" t="s">
        <v>3787</v>
      </c>
      <c r="P22" s="1044"/>
      <c r="Q22" s="1022" t="s">
        <v>3788</v>
      </c>
      <c r="W22" s="1061" t="s">
        <v>3776</v>
      </c>
      <c r="X22" s="1608" t="s">
        <v>376</v>
      </c>
      <c r="Y22" s="1608"/>
      <c r="Z22" s="1608"/>
      <c r="AA22" s="1608"/>
      <c r="AB22" s="1608"/>
      <c r="AC22" s="1022" t="s">
        <v>3751</v>
      </c>
      <c r="AD22" s="1063"/>
      <c r="AH22" s="1048"/>
      <c r="AJ22" s="1060"/>
      <c r="AP22" s="1050" t="s">
        <v>3789</v>
      </c>
      <c r="BE22" s="1054"/>
    </row>
    <row r="23" spans="1:57" ht="15" customHeight="1" thickBot="1">
      <c r="A23" s="1043"/>
      <c r="H23" s="1066"/>
      <c r="I23" s="1034"/>
      <c r="J23" s="1022" t="s">
        <v>3082</v>
      </c>
      <c r="L23" s="1609"/>
      <c r="M23" s="1609"/>
      <c r="N23" s="1609"/>
      <c r="O23" s="1609"/>
      <c r="P23" s="1609"/>
      <c r="Q23" s="1609"/>
      <c r="R23" s="1609"/>
      <c r="S23" s="1609"/>
      <c r="T23" s="1609"/>
      <c r="U23" s="1609"/>
      <c r="V23" s="1609"/>
      <c r="W23" s="1609"/>
      <c r="X23" s="1609"/>
      <c r="Y23" s="1609"/>
      <c r="Z23" s="1609"/>
      <c r="AA23" s="1609"/>
      <c r="AB23" s="1609"/>
      <c r="AC23" s="1035" t="s">
        <v>6</v>
      </c>
      <c r="AD23" s="1067"/>
      <c r="AE23" s="1035"/>
      <c r="AF23" s="1035"/>
      <c r="AG23" s="1035"/>
      <c r="AH23" s="1068"/>
      <c r="AJ23" s="1069"/>
      <c r="AK23" s="1070"/>
      <c r="AL23" s="1070"/>
      <c r="AM23" s="1070"/>
      <c r="AN23" s="1070"/>
      <c r="AO23" s="1070"/>
      <c r="AP23" s="1071" t="s">
        <v>3790</v>
      </c>
      <c r="AQ23" s="1070"/>
      <c r="AR23" s="1070"/>
      <c r="AS23" s="1070"/>
      <c r="AT23" s="1070"/>
      <c r="AU23" s="1070"/>
      <c r="AV23" s="1070"/>
      <c r="AW23" s="1070"/>
      <c r="AX23" s="1070"/>
      <c r="AY23" s="1070"/>
      <c r="AZ23" s="1070"/>
      <c r="BA23" s="1070"/>
      <c r="BB23" s="1070"/>
      <c r="BC23" s="1070"/>
      <c r="BD23" s="1070"/>
      <c r="BE23" s="1072"/>
    </row>
    <row r="24" spans="1:57" ht="15" customHeight="1" thickTop="1">
      <c r="A24" s="1031"/>
      <c r="B24" s="1032" t="s">
        <v>3791</v>
      </c>
      <c r="C24" s="1032"/>
      <c r="D24" s="1032"/>
      <c r="E24" s="1032"/>
      <c r="F24" s="1032"/>
      <c r="G24" s="1032"/>
      <c r="H24" s="1031"/>
      <c r="I24" s="1055"/>
      <c r="J24" s="1032" t="s">
        <v>3792</v>
      </c>
      <c r="K24" s="1073"/>
      <c r="L24" s="1032"/>
      <c r="M24" s="1074"/>
      <c r="N24" s="1610"/>
      <c r="O24" s="1610"/>
      <c r="P24" s="1610"/>
      <c r="Q24" s="1610"/>
      <c r="R24" s="1610"/>
      <c r="S24" s="1610"/>
      <c r="T24" s="1073" t="s">
        <v>3793</v>
      </c>
      <c r="U24" s="1073"/>
      <c r="V24" s="1073"/>
      <c r="W24" s="1055"/>
      <c r="X24" s="1032" t="s">
        <v>3794</v>
      </c>
      <c r="Y24" s="1055"/>
      <c r="Z24" s="1032" t="s">
        <v>3795</v>
      </c>
      <c r="AA24" s="1073" t="s">
        <v>6</v>
      </c>
      <c r="AB24" s="1032"/>
      <c r="AC24" s="1032"/>
      <c r="AD24" s="1075"/>
      <c r="AE24" s="1034"/>
      <c r="AF24" s="1035" t="s">
        <v>3750</v>
      </c>
      <c r="AG24" s="1032"/>
      <c r="AH24" s="1038"/>
    </row>
    <row r="25" spans="1:57" ht="15" customHeight="1">
      <c r="A25" s="1043"/>
      <c r="B25" s="1022" t="s">
        <v>3796</v>
      </c>
      <c r="H25" s="1043"/>
      <c r="I25" s="1044"/>
      <c r="J25" s="1022" t="s">
        <v>3797</v>
      </c>
      <c r="K25" s="1061" t="s">
        <v>401</v>
      </c>
      <c r="L25" s="1044" t="s">
        <v>3794</v>
      </c>
      <c r="M25" s="1022" t="s">
        <v>3798</v>
      </c>
      <c r="O25" s="1044"/>
      <c r="P25" s="1022" t="s">
        <v>3795</v>
      </c>
      <c r="Q25" s="1022" t="s">
        <v>6</v>
      </c>
      <c r="AD25" s="1063"/>
      <c r="AE25" s="1044"/>
      <c r="AF25" s="1022" t="s">
        <v>3799</v>
      </c>
      <c r="AH25" s="1048"/>
    </row>
    <row r="26" spans="1:57" ht="15" customHeight="1">
      <c r="A26" s="1043"/>
      <c r="H26" s="1043"/>
      <c r="J26" s="1044"/>
      <c r="K26" s="1022" t="s">
        <v>3800</v>
      </c>
      <c r="L26" s="1076"/>
      <c r="M26" s="1076"/>
      <c r="N26" s="1076"/>
      <c r="P26" s="1044"/>
      <c r="Q26" s="1022" t="s">
        <v>3801</v>
      </c>
      <c r="R26" s="1076"/>
      <c r="W26" s="1044"/>
      <c r="X26" s="1022" t="s">
        <v>3802</v>
      </c>
      <c r="AD26" s="1063"/>
      <c r="AH26" s="1048"/>
    </row>
    <row r="27" spans="1:57" ht="15" customHeight="1">
      <c r="A27" s="1043"/>
      <c r="H27" s="1043"/>
      <c r="J27" s="1044"/>
      <c r="K27" s="1022" t="s">
        <v>3803</v>
      </c>
      <c r="P27" s="1044"/>
      <c r="Q27" s="1022" t="s">
        <v>3804</v>
      </c>
      <c r="W27" s="1044"/>
      <c r="X27" s="1022" t="s">
        <v>3805</v>
      </c>
      <c r="AD27" s="1063"/>
      <c r="AH27" s="1048"/>
    </row>
    <row r="28" spans="1:57" ht="15" customHeight="1">
      <c r="A28" s="1043"/>
      <c r="H28" s="1043"/>
      <c r="J28" s="1044"/>
      <c r="K28" s="1022" t="s">
        <v>3806</v>
      </c>
      <c r="P28" s="1044"/>
      <c r="Q28" s="1022" t="s">
        <v>3082</v>
      </c>
      <c r="S28" s="1611"/>
      <c r="T28" s="1611"/>
      <c r="U28" s="1611"/>
      <c r="V28" s="1611"/>
      <c r="W28" s="1611"/>
      <c r="X28" s="1611"/>
      <c r="Y28" s="1611"/>
      <c r="Z28" s="1611"/>
      <c r="AA28" s="1611"/>
      <c r="AB28" s="1611"/>
      <c r="AC28" s="1022" t="s">
        <v>6</v>
      </c>
      <c r="AD28" s="1063"/>
      <c r="AH28" s="1048"/>
    </row>
    <row r="29" spans="1:57" ht="15" customHeight="1">
      <c r="A29" s="1043"/>
      <c r="H29" s="1043"/>
      <c r="J29" s="1044"/>
      <c r="K29" s="1022" t="s">
        <v>3807</v>
      </c>
      <c r="AD29" s="1063"/>
      <c r="AH29" s="1048"/>
    </row>
    <row r="30" spans="1:57" ht="15" customHeight="1">
      <c r="A30" s="1031"/>
      <c r="B30" s="1032" t="s">
        <v>3808</v>
      </c>
      <c r="C30" s="1032"/>
      <c r="D30" s="1032"/>
      <c r="E30" s="1032"/>
      <c r="F30" s="1032"/>
      <c r="G30" s="1032"/>
      <c r="H30" s="1031"/>
      <c r="I30" s="1055"/>
      <c r="J30" s="1032" t="s">
        <v>3797</v>
      </c>
      <c r="K30" s="1056" t="s">
        <v>401</v>
      </c>
      <c r="L30" s="1055"/>
      <c r="M30" s="1032" t="s">
        <v>3798</v>
      </c>
      <c r="N30" s="1032"/>
      <c r="O30" s="1055"/>
      <c r="P30" s="1032" t="s">
        <v>3795</v>
      </c>
      <c r="Q30" s="1032" t="s">
        <v>6</v>
      </c>
      <c r="R30" s="1032"/>
      <c r="S30" s="1032"/>
      <c r="T30" s="1032"/>
      <c r="U30" s="1032"/>
      <c r="V30" s="1032"/>
      <c r="W30" s="1032"/>
      <c r="X30" s="1032"/>
      <c r="Y30" s="1032"/>
      <c r="Z30" s="1032"/>
      <c r="AA30" s="1032"/>
      <c r="AB30" s="1032"/>
      <c r="AC30" s="1032"/>
      <c r="AD30" s="1077"/>
      <c r="AE30" s="1055"/>
      <c r="AF30" s="1032" t="s">
        <v>3799</v>
      </c>
      <c r="AG30" s="1032"/>
      <c r="AH30" s="1038"/>
    </row>
    <row r="31" spans="1:57" ht="15" customHeight="1">
      <c r="A31" s="1078"/>
      <c r="B31" s="1062" t="s">
        <v>3809</v>
      </c>
      <c r="C31" s="1062"/>
      <c r="D31" s="1062"/>
      <c r="E31" s="1062"/>
      <c r="F31" s="1062"/>
      <c r="G31" s="1062"/>
      <c r="H31" s="1078"/>
      <c r="I31" s="1058"/>
      <c r="J31" s="1062" t="s">
        <v>3797</v>
      </c>
      <c r="K31" s="1079" t="s">
        <v>401</v>
      </c>
      <c r="L31" s="1058"/>
      <c r="M31" s="1062" t="s">
        <v>3798</v>
      </c>
      <c r="N31" s="1062"/>
      <c r="O31" s="1058"/>
      <c r="P31" s="1062" t="s">
        <v>3795</v>
      </c>
      <c r="Q31" s="1062" t="s">
        <v>6</v>
      </c>
      <c r="R31" s="1062"/>
      <c r="S31" s="1062"/>
      <c r="T31" s="1062"/>
      <c r="U31" s="1062"/>
      <c r="V31" s="1062"/>
      <c r="W31" s="1062"/>
      <c r="X31" s="1062"/>
      <c r="Y31" s="1062"/>
      <c r="Z31" s="1062"/>
      <c r="AA31" s="1062"/>
      <c r="AB31" s="1062"/>
      <c r="AC31" s="1062"/>
      <c r="AD31" s="1077"/>
      <c r="AE31" s="1055"/>
      <c r="AF31" s="1032" t="s">
        <v>3799</v>
      </c>
      <c r="AG31" s="1032"/>
      <c r="AH31" s="1038"/>
    </row>
    <row r="32" spans="1:57" ht="15" customHeight="1">
      <c r="A32" s="1078"/>
      <c r="B32" s="1062" t="s">
        <v>3810</v>
      </c>
      <c r="C32" s="1062"/>
      <c r="D32" s="1062"/>
      <c r="E32" s="1062"/>
      <c r="F32" s="1062"/>
      <c r="G32" s="1062"/>
      <c r="H32" s="1078"/>
      <c r="I32" s="1058"/>
      <c r="J32" s="1062" t="s">
        <v>3811</v>
      </c>
      <c r="K32" s="1062"/>
      <c r="L32" s="1062"/>
      <c r="M32" s="1062"/>
      <c r="N32" s="1062"/>
      <c r="O32" s="1062"/>
      <c r="P32" s="1062"/>
      <c r="Q32" s="1062"/>
      <c r="R32" s="1062"/>
      <c r="S32" s="1062"/>
      <c r="T32" s="1062"/>
      <c r="U32" s="1062"/>
      <c r="V32" s="1062"/>
      <c r="W32" s="1062"/>
      <c r="X32" s="1062"/>
      <c r="Y32" s="1062"/>
      <c r="Z32" s="1062"/>
      <c r="AA32" s="1062"/>
      <c r="AB32" s="1062"/>
      <c r="AC32" s="1062"/>
      <c r="AD32" s="1063"/>
      <c r="AH32" s="1048"/>
    </row>
    <row r="33" spans="1:34" ht="15" customHeight="1">
      <c r="A33" s="1043"/>
      <c r="B33" s="1022" t="s">
        <v>3812</v>
      </c>
      <c r="H33" s="1043"/>
      <c r="J33" s="1080" t="s">
        <v>3813</v>
      </c>
      <c r="K33" s="1081"/>
      <c r="L33" s="1082"/>
      <c r="M33" s="1598" t="s">
        <v>376</v>
      </c>
      <c r="N33" s="1599"/>
      <c r="O33" s="1599"/>
      <c r="P33" s="1600"/>
      <c r="Q33" s="1598" t="s">
        <v>376</v>
      </c>
      <c r="R33" s="1599"/>
      <c r="S33" s="1599"/>
      <c r="T33" s="1600"/>
      <c r="U33" s="1598" t="s">
        <v>376</v>
      </c>
      <c r="V33" s="1599"/>
      <c r="W33" s="1599"/>
      <c r="X33" s="1600"/>
      <c r="Y33" s="1598" t="s">
        <v>376</v>
      </c>
      <c r="Z33" s="1599"/>
      <c r="AA33" s="1599"/>
      <c r="AB33" s="1600"/>
      <c r="AD33" s="1063"/>
      <c r="AH33" s="1048"/>
    </row>
    <row r="34" spans="1:34" ht="15" customHeight="1">
      <c r="A34" s="1043"/>
      <c r="B34" s="1044"/>
      <c r="C34" s="1022" t="s">
        <v>3814</v>
      </c>
      <c r="E34" s="1044"/>
      <c r="F34" s="1022" t="s">
        <v>3815</v>
      </c>
      <c r="H34" s="1043"/>
      <c r="J34" s="1080" t="s">
        <v>3816</v>
      </c>
      <c r="K34" s="1081"/>
      <c r="L34" s="1082"/>
      <c r="M34" s="1596"/>
      <c r="N34" s="1597"/>
      <c r="O34" s="1597"/>
      <c r="P34" s="1083" t="s">
        <v>3749</v>
      </c>
      <c r="Q34" s="1597"/>
      <c r="R34" s="1597"/>
      <c r="S34" s="1597"/>
      <c r="T34" s="1084" t="s">
        <v>3749</v>
      </c>
      <c r="U34" s="1597"/>
      <c r="V34" s="1597"/>
      <c r="W34" s="1597"/>
      <c r="X34" s="1083" t="s">
        <v>3749</v>
      </c>
      <c r="Y34" s="1597"/>
      <c r="Z34" s="1597"/>
      <c r="AA34" s="1597"/>
      <c r="AB34" s="1083" t="s">
        <v>3749</v>
      </c>
      <c r="AD34" s="1063"/>
      <c r="AH34" s="1048"/>
    </row>
    <row r="35" spans="1:34" ht="15" customHeight="1">
      <c r="A35" s="1043"/>
      <c r="H35" s="1043"/>
      <c r="I35" s="1044"/>
      <c r="J35" s="1022" t="s">
        <v>3817</v>
      </c>
      <c r="K35" s="1085"/>
      <c r="L35" s="1085"/>
      <c r="N35" s="1085"/>
      <c r="O35" s="1085"/>
      <c r="AB35" s="1085"/>
      <c r="AD35" s="1063"/>
      <c r="AH35" s="1048"/>
    </row>
    <row r="36" spans="1:34" ht="15" customHeight="1">
      <c r="A36" s="1043"/>
      <c r="H36" s="1043"/>
      <c r="J36" s="1080" t="s">
        <v>3813</v>
      </c>
      <c r="K36" s="1081"/>
      <c r="L36" s="1082"/>
      <c r="M36" s="1598" t="s">
        <v>376</v>
      </c>
      <c r="N36" s="1599"/>
      <c r="O36" s="1599"/>
      <c r="P36" s="1600"/>
      <c r="AB36" s="1085"/>
      <c r="AD36" s="1063"/>
      <c r="AH36" s="1048"/>
    </row>
    <row r="37" spans="1:34" ht="15" customHeight="1">
      <c r="A37" s="1043"/>
      <c r="B37" s="1022" t="s">
        <v>3818</v>
      </c>
      <c r="H37" s="1043"/>
      <c r="J37" s="1086" t="s">
        <v>3819</v>
      </c>
      <c r="K37" s="1084"/>
      <c r="L37" s="1084"/>
      <c r="M37" s="1601"/>
      <c r="N37" s="1602"/>
      <c r="O37" s="1602"/>
      <c r="P37" s="1083" t="s">
        <v>3749</v>
      </c>
      <c r="Q37" s="1603" t="s">
        <v>3820</v>
      </c>
      <c r="R37" s="1603"/>
      <c r="S37" s="1603"/>
      <c r="T37" s="1603"/>
      <c r="U37" s="1603"/>
      <c r="V37" s="1604"/>
      <c r="W37" s="1605"/>
      <c r="X37" s="1606"/>
      <c r="Y37" s="1084" t="s">
        <v>374</v>
      </c>
      <c r="Z37" s="1606"/>
      <c r="AA37" s="1606"/>
      <c r="AB37" s="1083" t="s">
        <v>375</v>
      </c>
      <c r="AD37" s="1063"/>
      <c r="AH37" s="1048"/>
    </row>
    <row r="38" spans="1:34" ht="15" customHeight="1">
      <c r="A38" s="1043"/>
      <c r="B38" s="1044"/>
      <c r="C38" s="1022" t="s">
        <v>3797</v>
      </c>
      <c r="E38" s="1044"/>
      <c r="F38" s="1022" t="s">
        <v>3799</v>
      </c>
      <c r="H38" s="1043"/>
      <c r="I38" s="1044"/>
      <c r="J38" s="1022" t="s">
        <v>3821</v>
      </c>
      <c r="AD38" s="1063"/>
      <c r="AH38" s="1048"/>
    </row>
    <row r="39" spans="1:34" ht="15" customHeight="1">
      <c r="A39" s="1043"/>
      <c r="H39" s="1043"/>
      <c r="J39" s="1080" t="s">
        <v>3816</v>
      </c>
      <c r="K39" s="1081"/>
      <c r="L39" s="1082"/>
      <c r="M39" s="1596"/>
      <c r="N39" s="1597"/>
      <c r="O39" s="1597"/>
      <c r="P39" s="1083" t="s">
        <v>3749</v>
      </c>
      <c r="Q39" s="1596"/>
      <c r="R39" s="1597"/>
      <c r="S39" s="1597"/>
      <c r="T39" s="1084" t="s">
        <v>3749</v>
      </c>
      <c r="U39" s="1597"/>
      <c r="V39" s="1597"/>
      <c r="W39" s="1597"/>
      <c r="X39" s="1083" t="s">
        <v>3749</v>
      </c>
      <c r="Y39" s="1597"/>
      <c r="Z39" s="1597"/>
      <c r="AA39" s="1597"/>
      <c r="AB39" s="1083" t="s">
        <v>3749</v>
      </c>
      <c r="AD39" s="1063"/>
      <c r="AH39" s="1048"/>
    </row>
    <row r="40" spans="1:34" ht="15" customHeight="1">
      <c r="A40" s="1043"/>
      <c r="H40" s="1043"/>
      <c r="J40" s="1022" t="s">
        <v>3822</v>
      </c>
      <c r="P40" s="1044"/>
      <c r="Q40" s="1022" t="s">
        <v>3748</v>
      </c>
      <c r="R40" s="1023" t="s">
        <v>401</v>
      </c>
      <c r="S40" s="1044"/>
      <c r="T40" s="1022" t="s">
        <v>3823</v>
      </c>
      <c r="V40" s="1044"/>
      <c r="W40" s="1022" t="s">
        <v>3795</v>
      </c>
      <c r="X40" s="1044"/>
      <c r="Y40" s="1022" t="s">
        <v>3824</v>
      </c>
      <c r="AB40" s="1044"/>
      <c r="AC40" s="1022" t="s">
        <v>3750</v>
      </c>
      <c r="AD40" s="1063"/>
      <c r="AH40" s="1048"/>
    </row>
    <row r="41" spans="1:34" ht="15" customHeight="1">
      <c r="A41" s="1043"/>
      <c r="H41" s="1043"/>
      <c r="I41" s="1044"/>
      <c r="J41" s="1022" t="s">
        <v>3825</v>
      </c>
      <c r="AD41" s="1063"/>
      <c r="AH41" s="1048"/>
    </row>
    <row r="42" spans="1:34" ht="15" customHeight="1">
      <c r="A42" s="1043"/>
      <c r="H42" s="1066"/>
      <c r="I42" s="1035"/>
      <c r="J42" s="1035"/>
      <c r="K42" s="1034"/>
      <c r="L42" s="1035" t="s">
        <v>3826</v>
      </c>
      <c r="M42" s="1035"/>
      <c r="N42" s="1034"/>
      <c r="O42" s="1035" t="s">
        <v>3798</v>
      </c>
      <c r="P42" s="1035"/>
      <c r="Q42" s="1034"/>
      <c r="R42" s="1035" t="s">
        <v>3795</v>
      </c>
      <c r="S42" s="1035"/>
      <c r="T42" s="1035"/>
      <c r="U42" s="1035"/>
      <c r="V42" s="1035"/>
      <c r="W42" s="1035"/>
      <c r="X42" s="1035"/>
      <c r="Y42" s="1035"/>
      <c r="Z42" s="1035"/>
      <c r="AA42" s="1035"/>
      <c r="AB42" s="1035"/>
      <c r="AD42" s="1063"/>
      <c r="AG42" s="1035"/>
      <c r="AH42" s="1068"/>
    </row>
    <row r="43" spans="1:34" ht="15" customHeight="1">
      <c r="A43" s="1078"/>
      <c r="B43" s="1062" t="s">
        <v>3827</v>
      </c>
      <c r="C43" s="1062"/>
      <c r="D43" s="1062"/>
      <c r="E43" s="1062"/>
      <c r="F43" s="1062"/>
      <c r="G43" s="1062"/>
      <c r="H43" s="1043"/>
      <c r="I43" s="1044"/>
      <c r="J43" s="1022" t="s">
        <v>3828</v>
      </c>
      <c r="L43" s="1022" t="s">
        <v>3829</v>
      </c>
      <c r="O43" s="1044"/>
      <c r="P43" s="1022" t="s">
        <v>3794</v>
      </c>
      <c r="R43" s="1044"/>
      <c r="S43" s="1022" t="s">
        <v>3795</v>
      </c>
      <c r="T43" s="1022" t="s">
        <v>6</v>
      </c>
      <c r="AC43" s="1062"/>
      <c r="AD43" s="1087"/>
      <c r="AE43" s="1058"/>
      <c r="AF43" s="1062" t="s">
        <v>3743</v>
      </c>
      <c r="AH43" s="1048"/>
    </row>
    <row r="44" spans="1:34" ht="15" customHeight="1">
      <c r="A44" s="1066"/>
      <c r="B44" s="1035" t="s">
        <v>3830</v>
      </c>
      <c r="C44" s="1035"/>
      <c r="D44" s="1035"/>
      <c r="E44" s="1035"/>
      <c r="F44" s="1035"/>
      <c r="G44" s="1035"/>
      <c r="H44" s="1088"/>
      <c r="I44" s="1089"/>
      <c r="J44" s="1090" t="s">
        <v>3831</v>
      </c>
      <c r="K44" s="1090"/>
      <c r="L44" s="1091" t="s">
        <v>401</v>
      </c>
      <c r="M44" s="1089"/>
      <c r="N44" s="1090" t="s">
        <v>3832</v>
      </c>
      <c r="O44" s="1090"/>
      <c r="P44" s="1090"/>
      <c r="Q44" s="1090"/>
      <c r="R44" s="1089"/>
      <c r="S44" s="1090" t="s">
        <v>3833</v>
      </c>
      <c r="T44" s="1090"/>
      <c r="U44" s="1090" t="s">
        <v>6</v>
      </c>
      <c r="V44" s="1090"/>
      <c r="W44" s="1089"/>
      <c r="X44" s="1090" t="s">
        <v>3834</v>
      </c>
      <c r="Y44" s="1090"/>
      <c r="Z44" s="1090"/>
      <c r="AA44" s="1090"/>
      <c r="AB44" s="1090"/>
      <c r="AC44" s="1092"/>
      <c r="AD44" s="1067"/>
      <c r="AE44" s="1034"/>
      <c r="AF44" s="1093" t="s">
        <v>3835</v>
      </c>
      <c r="AG44" s="1035"/>
      <c r="AH44" s="1068"/>
    </row>
    <row r="45" spans="1:34" ht="15" customHeight="1">
      <c r="A45" s="1031"/>
      <c r="B45" s="1032" t="s">
        <v>3836</v>
      </c>
      <c r="C45" s="1032"/>
      <c r="D45" s="1032"/>
      <c r="E45" s="1032"/>
      <c r="F45" s="1032"/>
      <c r="G45" s="1032"/>
      <c r="H45" s="1031"/>
      <c r="I45" s="1055"/>
      <c r="J45" s="1032" t="s">
        <v>3741</v>
      </c>
      <c r="K45" s="1056" t="s">
        <v>401</v>
      </c>
      <c r="L45" s="1055"/>
      <c r="M45" s="1032" t="s">
        <v>3837</v>
      </c>
      <c r="N45" s="1032"/>
      <c r="O45" s="1061" t="s">
        <v>3356</v>
      </c>
      <c r="P45" s="1055"/>
      <c r="Q45" s="1032" t="s">
        <v>3798</v>
      </c>
      <c r="R45" s="1032"/>
      <c r="S45" s="1055"/>
      <c r="T45" s="1032" t="s">
        <v>3838</v>
      </c>
      <c r="U45" s="1032"/>
      <c r="V45" s="1032" t="s">
        <v>3357</v>
      </c>
      <c r="W45" s="1055"/>
      <c r="X45" s="1032" t="s">
        <v>3839</v>
      </c>
      <c r="Y45" s="1032"/>
      <c r="Z45" s="1032" t="s">
        <v>6</v>
      </c>
      <c r="AA45" s="1032"/>
      <c r="AB45" s="1032"/>
      <c r="AC45" s="1032"/>
      <c r="AD45" s="1077"/>
      <c r="AE45" s="1055"/>
      <c r="AF45" s="1032" t="s">
        <v>3743</v>
      </c>
      <c r="AG45" s="1032"/>
      <c r="AH45" s="1038"/>
    </row>
    <row r="46" spans="1:34" ht="15" customHeight="1">
      <c r="A46" s="1031"/>
      <c r="B46" s="1032" t="s">
        <v>3840</v>
      </c>
      <c r="C46" s="1032"/>
      <c r="D46" s="1032"/>
      <c r="E46" s="1032"/>
      <c r="F46" s="1032"/>
      <c r="G46" s="1032"/>
      <c r="H46" s="1031"/>
      <c r="I46" s="1055"/>
      <c r="J46" s="1032" t="s">
        <v>3741</v>
      </c>
      <c r="K46" s="1056" t="s">
        <v>401</v>
      </c>
      <c r="L46" s="1055"/>
      <c r="M46" s="1022" t="s">
        <v>3841</v>
      </c>
      <c r="N46" s="1032"/>
      <c r="O46" s="1032"/>
      <c r="P46" s="1032"/>
      <c r="Q46" s="1032"/>
      <c r="R46" s="1032"/>
      <c r="S46" s="1032"/>
      <c r="U46" s="1055"/>
      <c r="V46" s="1032" t="s">
        <v>3842</v>
      </c>
      <c r="W46" s="1032"/>
      <c r="X46" s="1032"/>
      <c r="Y46" s="1062"/>
      <c r="Z46" s="1062"/>
      <c r="AA46" s="1022" t="s">
        <v>6</v>
      </c>
      <c r="AB46" s="1022" t="s">
        <v>3843</v>
      </c>
      <c r="AC46" s="1032"/>
      <c r="AD46" s="1077"/>
      <c r="AE46" s="1055"/>
      <c r="AF46" s="1032" t="s">
        <v>3743</v>
      </c>
      <c r="AG46" s="1032"/>
      <c r="AH46" s="1038"/>
    </row>
    <row r="47" spans="1:34" ht="15" customHeight="1">
      <c r="A47" s="1031"/>
      <c r="B47" s="1032" t="s">
        <v>3844</v>
      </c>
      <c r="C47" s="1032"/>
      <c r="D47" s="1032"/>
      <c r="E47" s="1032"/>
      <c r="F47" s="1032"/>
      <c r="G47" s="1032"/>
      <c r="H47" s="1031"/>
      <c r="I47" s="1055"/>
      <c r="J47" s="1032" t="s">
        <v>3741</v>
      </c>
      <c r="K47" s="1056"/>
      <c r="L47" s="1056"/>
      <c r="M47" s="1056"/>
      <c r="N47" s="1056"/>
      <c r="O47" s="1056"/>
      <c r="P47" s="1056"/>
      <c r="Q47" s="1056"/>
      <c r="R47" s="1056"/>
      <c r="S47" s="1056"/>
      <c r="T47" s="1056"/>
      <c r="U47" s="1056"/>
      <c r="V47" s="1056"/>
      <c r="W47" s="1056"/>
      <c r="X47" s="1056"/>
      <c r="Y47" s="1032"/>
      <c r="Z47" s="1074"/>
      <c r="AA47" s="1074"/>
      <c r="AB47" s="1074" t="s">
        <v>3845</v>
      </c>
      <c r="AC47" s="1032"/>
      <c r="AD47" s="1077"/>
      <c r="AE47" s="1055"/>
      <c r="AF47" s="1032" t="s">
        <v>3743</v>
      </c>
      <c r="AG47" s="1032"/>
      <c r="AH47" s="1038"/>
    </row>
    <row r="48" spans="1:34" ht="15" customHeight="1">
      <c r="A48" s="1031"/>
      <c r="B48" s="1032" t="s">
        <v>3846</v>
      </c>
      <c r="C48" s="1032"/>
      <c r="D48" s="1032"/>
      <c r="E48" s="1032"/>
      <c r="F48" s="1032"/>
      <c r="G48" s="1032"/>
      <c r="H48" s="1031"/>
      <c r="I48" s="1055"/>
      <c r="J48" s="1032" t="s">
        <v>3741</v>
      </c>
      <c r="K48" s="1032"/>
      <c r="L48" s="1032"/>
      <c r="M48" s="1032"/>
      <c r="N48" s="1032"/>
      <c r="O48" s="1032"/>
      <c r="P48" s="1032"/>
      <c r="Q48" s="1032"/>
      <c r="R48" s="1032"/>
      <c r="S48" s="1032"/>
      <c r="T48" s="1032"/>
      <c r="U48" s="1032"/>
      <c r="V48" s="1032"/>
      <c r="W48" s="1032"/>
      <c r="X48" s="1032"/>
      <c r="Y48" s="1032"/>
      <c r="Z48" s="1032"/>
      <c r="AA48" s="1032"/>
      <c r="AB48" s="1032"/>
      <c r="AC48" s="1032"/>
      <c r="AD48" s="1077"/>
      <c r="AE48" s="1055"/>
      <c r="AF48" s="1032" t="s">
        <v>3743</v>
      </c>
      <c r="AG48" s="1032"/>
      <c r="AH48" s="1038"/>
    </row>
    <row r="49" spans="1:34" ht="15" customHeight="1">
      <c r="A49" s="1031"/>
      <c r="B49" s="1032" t="s">
        <v>3847</v>
      </c>
      <c r="C49" s="1032"/>
      <c r="D49" s="1032"/>
      <c r="E49" s="1032"/>
      <c r="F49" s="1032"/>
      <c r="G49" s="1032"/>
      <c r="H49" s="1031"/>
      <c r="I49" s="1055"/>
      <c r="J49" s="1032" t="s">
        <v>3741</v>
      </c>
      <c r="K49" s="1061" t="s">
        <v>3776</v>
      </c>
      <c r="L49" s="1607" t="s">
        <v>376</v>
      </c>
      <c r="M49" s="1607"/>
      <c r="N49" s="1607"/>
      <c r="O49" s="1607"/>
      <c r="P49" s="1022" t="s">
        <v>3751</v>
      </c>
      <c r="R49" s="1032"/>
      <c r="T49" s="1032"/>
      <c r="U49" s="1032"/>
      <c r="V49" s="1032"/>
      <c r="W49" s="1032"/>
      <c r="X49" s="1032"/>
      <c r="Y49" s="1032"/>
      <c r="Z49" s="1032"/>
      <c r="AA49" s="1032"/>
      <c r="AB49" s="1032"/>
      <c r="AC49" s="1032"/>
      <c r="AD49" s="1077"/>
      <c r="AE49" s="1055"/>
      <c r="AF49" s="1032" t="s">
        <v>3743</v>
      </c>
      <c r="AG49" s="1032"/>
      <c r="AH49" s="1038"/>
    </row>
    <row r="50" spans="1:34" ht="15" customHeight="1">
      <c r="A50" s="1031"/>
      <c r="B50" s="1074" t="s">
        <v>3848</v>
      </c>
      <c r="C50" s="1032"/>
      <c r="D50" s="1032"/>
      <c r="E50" s="1032"/>
      <c r="F50" s="1032"/>
      <c r="G50" s="1032"/>
      <c r="H50" s="1031"/>
      <c r="I50" s="1055"/>
      <c r="J50" s="1032" t="s">
        <v>3748</v>
      </c>
      <c r="K50" s="1032"/>
      <c r="L50" s="1032"/>
      <c r="M50" s="1032"/>
      <c r="N50" s="1094"/>
      <c r="O50" s="1032"/>
      <c r="P50" s="1032"/>
      <c r="Q50" s="1032"/>
      <c r="R50" s="1032"/>
      <c r="S50" s="1032"/>
      <c r="T50" s="1032"/>
      <c r="U50" s="1032"/>
      <c r="V50" s="1094"/>
      <c r="W50" s="1032"/>
      <c r="X50" s="1032"/>
      <c r="Y50" s="1032"/>
      <c r="Z50" s="1032"/>
      <c r="AA50" s="1032"/>
      <c r="AB50" s="1032"/>
      <c r="AC50" s="1032"/>
      <c r="AD50" s="1077"/>
      <c r="AE50" s="1055"/>
      <c r="AF50" s="1032" t="s">
        <v>3750</v>
      </c>
      <c r="AG50" s="1032"/>
      <c r="AH50" s="1038"/>
    </row>
    <row r="51" spans="1:34" ht="15" customHeight="1">
      <c r="A51" s="1078"/>
      <c r="B51" s="1095" t="s">
        <v>3849</v>
      </c>
      <c r="C51" s="1062"/>
      <c r="D51" s="1062"/>
      <c r="E51" s="1062"/>
      <c r="F51" s="1062"/>
      <c r="G51" s="1062"/>
      <c r="H51" s="1078"/>
      <c r="I51" s="1058"/>
      <c r="J51" s="1062" t="s">
        <v>3748</v>
      </c>
      <c r="K51" s="1056" t="s">
        <v>401</v>
      </c>
      <c r="L51" s="1055"/>
      <c r="M51" s="1032" t="s">
        <v>3850</v>
      </c>
      <c r="N51" s="1074"/>
      <c r="O51" s="1074"/>
      <c r="P51" s="1055"/>
      <c r="Q51" s="1032" t="s">
        <v>3795</v>
      </c>
      <c r="R51" s="1032" t="s">
        <v>6</v>
      </c>
      <c r="S51" s="1074"/>
      <c r="T51" s="1032"/>
      <c r="U51" s="1032"/>
      <c r="V51" s="1032"/>
      <c r="W51" s="1032"/>
      <c r="X51" s="1032"/>
      <c r="Y51" s="1032"/>
      <c r="Z51" s="1032"/>
      <c r="AA51" s="1032"/>
      <c r="AB51" s="1032"/>
      <c r="AC51" s="1096"/>
      <c r="AD51" s="1087"/>
      <c r="AE51" s="1058"/>
      <c r="AF51" s="1062" t="s">
        <v>3750</v>
      </c>
      <c r="AG51" s="1062"/>
      <c r="AH51" s="1097"/>
    </row>
    <row r="52" spans="1:34" ht="15" customHeight="1">
      <c r="A52" s="1031"/>
      <c r="B52" s="1032" t="s">
        <v>3851</v>
      </c>
      <c r="C52" s="1032"/>
      <c r="D52" s="1032"/>
      <c r="E52" s="1032"/>
      <c r="F52" s="1032"/>
      <c r="G52" s="1032"/>
      <c r="H52" s="1031"/>
      <c r="I52" s="1055"/>
      <c r="J52" s="1032" t="s">
        <v>3741</v>
      </c>
      <c r="K52" s="1036" t="s">
        <v>401</v>
      </c>
      <c r="L52" s="1034"/>
      <c r="M52" s="1035" t="s">
        <v>3798</v>
      </c>
      <c r="N52" s="1035"/>
      <c r="P52" s="1034"/>
      <c r="Q52" s="1035" t="s">
        <v>3795</v>
      </c>
      <c r="S52" s="1034"/>
      <c r="T52" s="1035" t="s">
        <v>3852</v>
      </c>
      <c r="U52" s="1093"/>
      <c r="V52" s="1035"/>
      <c r="W52" s="1035" t="s">
        <v>6</v>
      </c>
      <c r="X52" s="1035"/>
      <c r="Y52" s="1035"/>
      <c r="Z52" s="1035"/>
      <c r="AA52" s="1035"/>
      <c r="AB52" s="1035"/>
      <c r="AC52" s="1035"/>
      <c r="AD52" s="1077"/>
      <c r="AE52" s="1055"/>
      <c r="AF52" s="1032" t="s">
        <v>3743</v>
      </c>
      <c r="AG52" s="1032"/>
      <c r="AH52" s="1038"/>
    </row>
    <row r="53" spans="1:34" ht="15" customHeight="1">
      <c r="A53" s="1078"/>
      <c r="B53" s="1062" t="s">
        <v>3853</v>
      </c>
      <c r="C53" s="1062"/>
      <c r="D53" s="1062"/>
      <c r="E53" s="1062"/>
      <c r="F53" s="1062"/>
      <c r="G53" s="1062"/>
      <c r="H53" s="1078"/>
      <c r="I53" s="1058"/>
      <c r="J53" s="1062" t="s">
        <v>3748</v>
      </c>
      <c r="K53" s="1079" t="s">
        <v>401</v>
      </c>
      <c r="L53" s="1058"/>
      <c r="M53" s="1062" t="s">
        <v>3854</v>
      </c>
      <c r="N53" s="1062"/>
      <c r="O53" s="1062"/>
      <c r="P53" s="1058"/>
      <c r="Q53" s="1062" t="s">
        <v>450</v>
      </c>
      <c r="R53" s="1062"/>
      <c r="S53" s="1058"/>
      <c r="T53" s="1062" t="s">
        <v>452</v>
      </c>
      <c r="U53" s="1062"/>
      <c r="V53" s="1062"/>
      <c r="W53" s="1058"/>
      <c r="X53" s="1062" t="s">
        <v>3855</v>
      </c>
      <c r="Y53" s="1095"/>
      <c r="Z53" s="1095"/>
      <c r="AA53" s="1062" t="s">
        <v>6</v>
      </c>
      <c r="AB53" s="1062"/>
      <c r="AC53" s="1062"/>
      <c r="AD53" s="1087"/>
      <c r="AE53" s="1058"/>
      <c r="AF53" s="1062" t="s">
        <v>3750</v>
      </c>
      <c r="AG53" s="1062"/>
      <c r="AH53" s="1097"/>
    </row>
    <row r="54" spans="1:34" ht="15" customHeight="1">
      <c r="A54" s="1078"/>
      <c r="B54" s="1062" t="s">
        <v>3856</v>
      </c>
      <c r="C54" s="1062"/>
      <c r="D54" s="1062"/>
      <c r="E54" s="1062"/>
      <c r="F54" s="1062"/>
      <c r="G54" s="1062"/>
      <c r="H54" s="1062"/>
      <c r="I54" s="1098" t="s">
        <v>3857</v>
      </c>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1062"/>
      <c r="AH54" s="1097"/>
    </row>
    <row r="55" spans="1:34" ht="15" customHeight="1">
      <c r="A55" s="1043"/>
      <c r="E55" s="1099"/>
      <c r="F55" s="1022" t="s">
        <v>3858</v>
      </c>
      <c r="G55" s="1023"/>
      <c r="K55" s="1099"/>
      <c r="L55" s="1022" t="s">
        <v>3859</v>
      </c>
      <c r="M55" s="1023"/>
      <c r="N55" s="1023"/>
      <c r="O55" s="1023"/>
      <c r="P55" s="1023"/>
      <c r="Q55" s="1023"/>
      <c r="T55" s="1061"/>
      <c r="AH55" s="1048"/>
    </row>
    <row r="56" spans="1:34" ht="15" customHeight="1">
      <c r="A56" s="1043"/>
      <c r="B56" s="1100"/>
      <c r="E56" s="1099"/>
      <c r="F56" s="1022" t="s">
        <v>3860</v>
      </c>
      <c r="G56" s="1023"/>
      <c r="K56" s="1099"/>
      <c r="L56" s="1022" t="s">
        <v>3861</v>
      </c>
      <c r="P56" s="1099"/>
      <c r="Q56" s="1022" t="s">
        <v>3862</v>
      </c>
      <c r="U56" s="1099"/>
      <c r="V56" s="1022" t="s">
        <v>3863</v>
      </c>
      <c r="Z56" s="1099"/>
      <c r="AA56" s="1022" t="s">
        <v>3864</v>
      </c>
      <c r="AH56" s="1048"/>
    </row>
    <row r="57" spans="1:34" ht="15" customHeight="1">
      <c r="A57" s="1043"/>
      <c r="E57" s="1099"/>
      <c r="F57" s="1022" t="s">
        <v>3865</v>
      </c>
      <c r="G57" s="1023"/>
      <c r="K57" s="1099"/>
      <c r="L57" s="1022" t="s">
        <v>3866</v>
      </c>
      <c r="P57" s="1099"/>
      <c r="Q57" s="1022" t="s">
        <v>3867</v>
      </c>
      <c r="U57" s="1099"/>
      <c r="V57" s="1022" t="s">
        <v>3868</v>
      </c>
      <c r="Z57" s="1099"/>
      <c r="AA57" s="1022" t="s">
        <v>3869</v>
      </c>
      <c r="AH57" s="1048"/>
    </row>
    <row r="58" spans="1:34" ht="15" customHeight="1">
      <c r="A58" s="1066"/>
      <c r="B58" s="1035"/>
      <c r="C58" s="1035"/>
      <c r="D58" s="1035"/>
      <c r="E58" s="1034"/>
      <c r="F58" s="1035" t="s">
        <v>3870</v>
      </c>
      <c r="G58" s="1035"/>
      <c r="H58" s="1035"/>
      <c r="I58" s="1035"/>
      <c r="J58" s="1035"/>
      <c r="K58" s="1035" t="s">
        <v>3871</v>
      </c>
      <c r="L58" s="1035"/>
      <c r="M58" s="1035"/>
      <c r="N58" s="1035"/>
      <c r="O58" s="1035"/>
      <c r="P58" s="1035"/>
      <c r="Q58" s="1595" t="s">
        <v>3872</v>
      </c>
      <c r="R58" s="1595"/>
      <c r="S58" s="1595"/>
      <c r="T58" s="1595"/>
      <c r="U58" s="1035" t="s">
        <v>3873</v>
      </c>
      <c r="V58" s="1595" t="s">
        <v>3872</v>
      </c>
      <c r="W58" s="1595"/>
      <c r="X58" s="1595"/>
      <c r="Y58" s="1595"/>
      <c r="Z58" s="1035" t="s">
        <v>6</v>
      </c>
      <c r="AA58" s="1093"/>
      <c r="AB58" s="1093"/>
      <c r="AC58" s="1093"/>
      <c r="AD58" s="1093"/>
      <c r="AE58" s="1093"/>
      <c r="AF58" s="1093"/>
      <c r="AG58" s="1035"/>
      <c r="AH58" s="1068"/>
    </row>
    <row r="59" spans="1:34" ht="15" customHeight="1">
      <c r="B59" s="1022" t="s">
        <v>3874</v>
      </c>
    </row>
    <row r="60" spans="1:34" ht="15" customHeight="1">
      <c r="A60" s="1031"/>
      <c r="B60" s="1032"/>
      <c r="C60" s="1032"/>
      <c r="D60" s="1032"/>
      <c r="E60" s="1585" t="s">
        <v>3875</v>
      </c>
      <c r="F60" s="1586"/>
      <c r="G60" s="1587"/>
      <c r="H60" s="1585" t="s">
        <v>3876</v>
      </c>
      <c r="I60" s="1586"/>
      <c r="J60" s="1586"/>
      <c r="K60" s="1586"/>
      <c r="L60" s="1586"/>
      <c r="M60" s="1586"/>
      <c r="N60" s="1585" t="s">
        <v>3877</v>
      </c>
      <c r="O60" s="1586"/>
      <c r="P60" s="1586"/>
      <c r="Q60" s="1586"/>
      <c r="R60" s="1586"/>
      <c r="S60" s="1586"/>
      <c r="T60" s="1586"/>
      <c r="U60" s="1586"/>
      <c r="V60" s="1586"/>
      <c r="W60" s="1587"/>
      <c r="X60" s="1586" t="s">
        <v>3878</v>
      </c>
      <c r="Y60" s="1586"/>
      <c r="Z60" s="1586"/>
      <c r="AA60" s="1586"/>
      <c r="AB60" s="1586"/>
      <c r="AC60" s="1586"/>
      <c r="AD60" s="1586"/>
      <c r="AE60" s="1586"/>
      <c r="AF60" s="1586"/>
      <c r="AG60" s="1586"/>
      <c r="AH60" s="1587"/>
    </row>
    <row r="61" spans="1:34" ht="15" customHeight="1">
      <c r="A61" s="1078"/>
      <c r="B61" s="1098" t="s">
        <v>3810</v>
      </c>
      <c r="C61" s="1062"/>
      <c r="D61" s="1062"/>
      <c r="E61" s="1588" t="s">
        <v>3872</v>
      </c>
      <c r="F61" s="1589"/>
      <c r="G61" s="1590"/>
      <c r="H61" s="1591"/>
      <c r="I61" s="1592"/>
      <c r="J61" s="1592"/>
      <c r="K61" s="1592"/>
      <c r="L61" s="1592"/>
      <c r="M61" s="1592"/>
      <c r="N61" s="1591"/>
      <c r="O61" s="1592"/>
      <c r="P61" s="1592"/>
      <c r="Q61" s="1592"/>
      <c r="R61" s="1592"/>
      <c r="S61" s="1592"/>
      <c r="T61" s="1592"/>
      <c r="U61" s="1592"/>
      <c r="V61" s="1592"/>
      <c r="W61" s="1593"/>
      <c r="X61" s="1592"/>
      <c r="Y61" s="1592"/>
      <c r="Z61" s="1592"/>
      <c r="AA61" s="1592"/>
      <c r="AB61" s="1592"/>
      <c r="AC61" s="1592"/>
      <c r="AD61" s="1592"/>
      <c r="AE61" s="1592"/>
      <c r="AF61" s="1592"/>
      <c r="AG61" s="1592"/>
      <c r="AH61" s="1594"/>
    </row>
    <row r="62" spans="1:34" ht="15" customHeight="1">
      <c r="A62" s="1043"/>
      <c r="B62" s="1101" t="s">
        <v>3879</v>
      </c>
      <c r="E62" s="1571" t="s">
        <v>3872</v>
      </c>
      <c r="F62" s="1572"/>
      <c r="G62" s="1573"/>
      <c r="H62" s="1574"/>
      <c r="I62" s="1575"/>
      <c r="J62" s="1575"/>
      <c r="K62" s="1575"/>
      <c r="L62" s="1575"/>
      <c r="M62" s="1575"/>
      <c r="N62" s="1574"/>
      <c r="O62" s="1575"/>
      <c r="P62" s="1575"/>
      <c r="Q62" s="1575"/>
      <c r="R62" s="1575"/>
      <c r="S62" s="1575"/>
      <c r="T62" s="1575"/>
      <c r="U62" s="1575"/>
      <c r="V62" s="1575"/>
      <c r="W62" s="1576"/>
      <c r="X62" s="1575"/>
      <c r="Y62" s="1575"/>
      <c r="Z62" s="1575"/>
      <c r="AA62" s="1575"/>
      <c r="AB62" s="1575"/>
      <c r="AC62" s="1575"/>
      <c r="AD62" s="1575"/>
      <c r="AE62" s="1575"/>
      <c r="AF62" s="1575"/>
      <c r="AG62" s="1575"/>
      <c r="AH62" s="1577"/>
    </row>
    <row r="63" spans="1:34" ht="15" customHeight="1">
      <c r="A63" s="1066"/>
      <c r="B63" s="1102" t="s">
        <v>5</v>
      </c>
      <c r="C63" s="1035"/>
      <c r="D63" s="1035"/>
      <c r="E63" s="1578" t="s">
        <v>3872</v>
      </c>
      <c r="F63" s="1579"/>
      <c r="G63" s="1580"/>
      <c r="H63" s="1581"/>
      <c r="I63" s="1582"/>
      <c r="J63" s="1582"/>
      <c r="K63" s="1582"/>
      <c r="L63" s="1582"/>
      <c r="M63" s="1582"/>
      <c r="N63" s="1581"/>
      <c r="O63" s="1582"/>
      <c r="P63" s="1582"/>
      <c r="Q63" s="1582"/>
      <c r="R63" s="1582"/>
      <c r="S63" s="1582"/>
      <c r="T63" s="1582"/>
      <c r="U63" s="1582"/>
      <c r="V63" s="1582"/>
      <c r="W63" s="1583"/>
      <c r="X63" s="1582"/>
      <c r="Y63" s="1582"/>
      <c r="Z63" s="1582"/>
      <c r="AA63" s="1582"/>
      <c r="AB63" s="1582"/>
      <c r="AC63" s="1582"/>
      <c r="AD63" s="1582"/>
      <c r="AE63" s="1582"/>
      <c r="AF63" s="1582"/>
      <c r="AG63" s="1582"/>
      <c r="AH63" s="1584"/>
    </row>
    <row r="64" spans="1:34" ht="15" customHeight="1">
      <c r="B64" s="1570" t="s">
        <v>2885</v>
      </c>
      <c r="C64" s="1570"/>
      <c r="D64" s="1570"/>
      <c r="E64" s="1570"/>
      <c r="F64" s="1570"/>
      <c r="G64" s="1570"/>
      <c r="H64" s="1570"/>
      <c r="I64" s="1570"/>
      <c r="J64" s="1570"/>
      <c r="K64" s="1570"/>
      <c r="L64" s="1570"/>
      <c r="M64" s="1570"/>
      <c r="N64" s="1570"/>
      <c r="O64" s="1570"/>
      <c r="P64" s="1570"/>
      <c r="Q64" s="1570"/>
      <c r="R64" s="1570"/>
      <c r="S64" s="1570"/>
      <c r="T64" s="1570"/>
      <c r="U64" s="1570"/>
      <c r="V64" s="1570"/>
      <c r="W64" s="1570"/>
      <c r="X64" s="1570"/>
      <c r="Y64" s="1570"/>
      <c r="Z64" s="1570"/>
      <c r="AA64" s="1570"/>
      <c r="AB64" s="1570"/>
      <c r="AC64" s="1570"/>
      <c r="AD64" s="1570"/>
      <c r="AE64" s="1570"/>
      <c r="AF64" s="1570"/>
      <c r="AG64" s="1570"/>
    </row>
  </sheetData>
  <mergeCells count="53">
    <mergeCell ref="AJ11:AN11"/>
    <mergeCell ref="P19:Y19"/>
    <mergeCell ref="X1:AG1"/>
    <mergeCell ref="B2:AG2"/>
    <mergeCell ref="AC4:AD4"/>
    <mergeCell ref="I9:AG9"/>
    <mergeCell ref="V11:W11"/>
    <mergeCell ref="AJ12:AN12"/>
    <mergeCell ref="J13:L13"/>
    <mergeCell ref="J14:L14"/>
    <mergeCell ref="AJ16:AN16"/>
    <mergeCell ref="P18:R18"/>
    <mergeCell ref="X22:AB22"/>
    <mergeCell ref="L23:AB23"/>
    <mergeCell ref="N24:S24"/>
    <mergeCell ref="S28:AB28"/>
    <mergeCell ref="M33:P33"/>
    <mergeCell ref="Q33:T33"/>
    <mergeCell ref="U33:X33"/>
    <mergeCell ref="Y33:AB33"/>
    <mergeCell ref="Q58:T58"/>
    <mergeCell ref="V58:Y58"/>
    <mergeCell ref="M34:O34"/>
    <mergeCell ref="Q34:S34"/>
    <mergeCell ref="U34:W34"/>
    <mergeCell ref="Y34:AA34"/>
    <mergeCell ref="M36:P36"/>
    <mergeCell ref="M37:O37"/>
    <mergeCell ref="Q37:V37"/>
    <mergeCell ref="W37:X37"/>
    <mergeCell ref="Z37:AA37"/>
    <mergeCell ref="M39:O39"/>
    <mergeCell ref="Q39:S39"/>
    <mergeCell ref="U39:W39"/>
    <mergeCell ref="Y39:AA39"/>
    <mergeCell ref="L49:O49"/>
    <mergeCell ref="E60:G60"/>
    <mergeCell ref="H60:M60"/>
    <mergeCell ref="N60:W60"/>
    <mergeCell ref="X60:AH60"/>
    <mergeCell ref="E61:G61"/>
    <mergeCell ref="H61:M61"/>
    <mergeCell ref="N61:W61"/>
    <mergeCell ref="X61:AH61"/>
    <mergeCell ref="B64:AG64"/>
    <mergeCell ref="E62:G62"/>
    <mergeCell ref="H62:M62"/>
    <mergeCell ref="N62:W62"/>
    <mergeCell ref="X62:AH62"/>
    <mergeCell ref="E63:G63"/>
    <mergeCell ref="H63:M63"/>
    <mergeCell ref="N63:W63"/>
    <mergeCell ref="X63:AH63"/>
  </mergeCells>
  <phoneticPr fontId="139"/>
  <dataValidations count="9">
    <dataValidation type="list" allowBlank="1" showInputMessage="1" showErrorMessage="1" sqref="X22:AB22" xr:uid="{00000000-0002-0000-1100-000000000000}">
      <formula1>"　,鵜住居地区,釜石東部地区,平田地区,陸前高田地区,町方・安渡地区,沢山地区,赤浜地区,吉里吉里地区"</formula1>
    </dataValidation>
    <dataValidation allowBlank="1" showInputMessage="1" showErrorMessage="1" sqref="M11:M16 M34:O34 M37 M39:O39 O11:O16 Q34:S34 Q39:S39 U13:U16 U34:W34 U39:W39 W13:W16 Y34:AA34 Y39:AA39 AC13:AC16 AF13:AF16" xr:uid="{00000000-0002-0000-1100-000001000000}"/>
    <dataValidation type="list" allowBlank="1" showInputMessage="1" showErrorMessage="1" sqref="L49" xr:uid="{00000000-0002-0000-1100-000002000000}">
      <formula1>"　,第1種,第2種,第2種区域-A,第2種区域-B,第2種区域-C,第3種"</formula1>
    </dataValidation>
    <dataValidation type="list" allowBlank="1" showInputMessage="1" showErrorMessage="1" sqref="N50 V50" xr:uid="{00000000-0002-0000-1100-000003000000}">
      <formula1>"■,□"</formula1>
    </dataValidation>
    <dataValidation type="list" allowBlank="1" showInputMessage="1" showErrorMessage="1" sqref="P18" xr:uid="{00000000-0002-0000-1100-000004000000}">
      <formula1>"　,第一種,第三種,第四種"</formula1>
    </dataValidation>
    <dataValidation type="list" allowBlank="1" showInputMessage="1" showErrorMessage="1" sqref="V11:W11" xr:uid="{00000000-0002-0000-1100-000005000000}">
      <formula1>"　,1.0"</formula1>
    </dataValidation>
    <dataValidation type="list" allowBlank="1" showInputMessage="1" showErrorMessage="1" sqref="P19:Y19" xr:uid="{00000000-0002-0000-1100-00000600000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M36:P36" xr:uid="{00000000-0002-0000-1100-000007000000}">
      <formula1>"　,4号,5号"</formula1>
    </dataValidation>
    <dataValidation type="list" allowBlank="1" showInputMessage="1" showErrorMessage="1" sqref="M33:AB33" xr:uid="{00000000-0002-0000-1100-000008000000}">
      <formula1>"　,1号,2号,3号"</formula1>
    </dataValidation>
  </dataValidations>
  <pageMargins left="0.55118110236220474" right="3.937007874015748E-2"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4385"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144386" r:id="rId5" name="Check_x0020_Box_x0020_2">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144387" r:id="rId6" name="Check_x0020_Box_x0020_3">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144388" r:id="rId7" name="Check_x0020_Box_x0020_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144389" r:id="rId8"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144390" r:id="rId9"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144391" r:id="rId10"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4392" r:id="rId11"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4393" r:id="rId12"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144394" r:id="rId13"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144395" r:id="rId14" name="Check_x0020_Box_x0020_11">
              <controlPr defaultSize="0" autoFill="0" autoLine="0" autoPict="0" altText="">
                <anchor moveWithCells="1">
                  <from>
                    <xdr:col>30</xdr:col>
                    <xdr:colOff>0</xdr:colOff>
                    <xdr:row>43</xdr:row>
                    <xdr:rowOff>180975</xdr:rowOff>
                  </from>
                  <to>
                    <xdr:col>31</xdr:col>
                    <xdr:colOff>66675</xdr:colOff>
                    <xdr:row>45</xdr:row>
                    <xdr:rowOff>9525</xdr:rowOff>
                  </to>
                </anchor>
              </controlPr>
            </control>
          </mc:Choice>
        </mc:AlternateContent>
        <mc:AlternateContent xmlns:mc="http://schemas.openxmlformats.org/markup-compatibility/2006">
          <mc:Choice Requires="x14">
            <control shapeId="144396" r:id="rId15" name="Check_x0020_Box_x0020_12">
              <controlPr defaultSize="0" autoFill="0" autoLine="0" autoPict="0" altText="">
                <anchor moveWithCells="1">
                  <from>
                    <xdr:col>30</xdr:col>
                    <xdr:colOff>0</xdr:colOff>
                    <xdr:row>44</xdr:row>
                    <xdr:rowOff>180975</xdr:rowOff>
                  </from>
                  <to>
                    <xdr:col>31</xdr:col>
                    <xdr:colOff>66675</xdr:colOff>
                    <xdr:row>46</xdr:row>
                    <xdr:rowOff>9525</xdr:rowOff>
                  </to>
                </anchor>
              </controlPr>
            </control>
          </mc:Choice>
        </mc:AlternateContent>
        <mc:AlternateContent xmlns:mc="http://schemas.openxmlformats.org/markup-compatibility/2006">
          <mc:Choice Requires="x14">
            <control shapeId="144397" r:id="rId16"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144398" r:id="rId17"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144399" r:id="rId18"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144400" r:id="rId19"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144401" r:id="rId20"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144402" r:id="rId21"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144403" r:id="rId22"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144404" r:id="rId23"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144405" r:id="rId24"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144406" r:id="rId25"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144407" r:id="rId26"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144408" r:id="rId27"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144409" r:id="rId28"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144410" r:id="rId29"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144411" r:id="rId30"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144412" r:id="rId31"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144413" r:id="rId32"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144414" r:id="rId33"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144415" r:id="rId34"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144416" r:id="rId35"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144417" r:id="rId36"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144418" r:id="rId37"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144419" r:id="rId38"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144420" r:id="rId39"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144421" r:id="rId40"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144422" r:id="rId41"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144423" r:id="rId42"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144424" r:id="rId43"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144425" r:id="rId44"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144426" r:id="rId45"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144427" r:id="rId46"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144428" r:id="rId47"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144429" r:id="rId48"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144430" r:id="rId49"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144431" r:id="rId50"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144432" r:id="rId51"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144433" r:id="rId52"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144434" r:id="rId53"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144435" r:id="rId54"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144436" r:id="rId55"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144437" r:id="rId56"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144438" r:id="rId57"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144439" r:id="rId58"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144440" r:id="rId59"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144441" r:id="rId60"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144442" r:id="rId61"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144443" r:id="rId62" name="Check_x0020_Box_x0020_62">
              <controlPr defaultSize="0" autoFill="0" autoLine="0" autoPict="0" altText="">
                <anchor moveWithCells="1">
                  <from>
                    <xdr:col>10</xdr:col>
                    <xdr:colOff>209550</xdr:colOff>
                    <xdr:row>23</xdr:row>
                    <xdr:rowOff>180975</xdr:rowOff>
                  </from>
                  <to>
                    <xdr:col>12</xdr:col>
                    <xdr:colOff>38100</xdr:colOff>
                    <xdr:row>25</xdr:row>
                    <xdr:rowOff>9525</xdr:rowOff>
                  </to>
                </anchor>
              </controlPr>
            </control>
          </mc:Choice>
        </mc:AlternateContent>
        <mc:AlternateContent xmlns:mc="http://schemas.openxmlformats.org/markup-compatibility/2006">
          <mc:Choice Requires="x14">
            <control shapeId="144444" r:id="rId63" name="Check_x0020_Box_x0020_63">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144445" r:id="rId64" name="Check_x0020_Box_x0020_64">
              <controlPr defaultSize="0" autoFill="0" autoLine="0" autoPict="0" altText="">
                <anchor moveWithCells="1">
                  <from>
                    <xdr:col>14</xdr:col>
                    <xdr:colOff>209550</xdr:colOff>
                    <xdr:row>43</xdr:row>
                    <xdr:rowOff>180975</xdr:rowOff>
                  </from>
                  <to>
                    <xdr:col>16</xdr:col>
                    <xdr:colOff>38100</xdr:colOff>
                    <xdr:row>45</xdr:row>
                    <xdr:rowOff>9525</xdr:rowOff>
                  </to>
                </anchor>
              </controlPr>
            </control>
          </mc:Choice>
        </mc:AlternateContent>
        <mc:AlternateContent xmlns:mc="http://schemas.openxmlformats.org/markup-compatibility/2006">
          <mc:Choice Requires="x14">
            <control shapeId="144446" r:id="rId65" name="Check_x0020_Box_x0020_65">
              <controlPr defaultSize="0" autoFill="0" autoLine="0" autoPict="0" altText="">
                <anchor moveWithCells="1">
                  <from>
                    <xdr:col>17</xdr:col>
                    <xdr:colOff>209550</xdr:colOff>
                    <xdr:row>43</xdr:row>
                    <xdr:rowOff>180975</xdr:rowOff>
                  </from>
                  <to>
                    <xdr:col>19</xdr:col>
                    <xdr:colOff>38100</xdr:colOff>
                    <xdr:row>45</xdr:row>
                    <xdr:rowOff>9525</xdr:rowOff>
                  </to>
                </anchor>
              </controlPr>
            </control>
          </mc:Choice>
        </mc:AlternateContent>
        <mc:AlternateContent xmlns:mc="http://schemas.openxmlformats.org/markup-compatibility/2006">
          <mc:Choice Requires="x14">
            <control shapeId="144447" r:id="rId66" name="Check_x0020_Box_x0020_66">
              <controlPr defaultSize="0" autoFill="0" autoLine="0" autoPict="0" altText="">
                <anchor moveWithCells="1">
                  <from>
                    <xdr:col>21</xdr:col>
                    <xdr:colOff>209550</xdr:colOff>
                    <xdr:row>43</xdr:row>
                    <xdr:rowOff>180975</xdr:rowOff>
                  </from>
                  <to>
                    <xdr:col>23</xdr:col>
                    <xdr:colOff>38100</xdr:colOff>
                    <xdr:row>45</xdr:row>
                    <xdr:rowOff>9525</xdr:rowOff>
                  </to>
                </anchor>
              </controlPr>
            </control>
          </mc:Choice>
        </mc:AlternateContent>
        <mc:AlternateContent xmlns:mc="http://schemas.openxmlformats.org/markup-compatibility/2006">
          <mc:Choice Requires="x14">
            <control shapeId="144448" r:id="rId67" name="Check_x0020_Box_x0020_67">
              <controlPr defaultSize="0" autoFill="0" autoLine="0" autoPict="0" altText="">
                <anchor moveWithCells="1">
                  <from>
                    <xdr:col>10</xdr:col>
                    <xdr:colOff>209550</xdr:colOff>
                    <xdr:row>43</xdr:row>
                    <xdr:rowOff>180975</xdr:rowOff>
                  </from>
                  <to>
                    <xdr:col>12</xdr:col>
                    <xdr:colOff>38100</xdr:colOff>
                    <xdr:row>45</xdr:row>
                    <xdr:rowOff>9525</xdr:rowOff>
                  </to>
                </anchor>
              </controlPr>
            </control>
          </mc:Choice>
        </mc:AlternateContent>
        <mc:AlternateContent xmlns:mc="http://schemas.openxmlformats.org/markup-compatibility/2006">
          <mc:Choice Requires="x14">
            <control shapeId="144449" r:id="rId68" name="Check_x0020_Box_x0020_68">
              <controlPr defaultSize="0" autoFill="0" autoLine="0" autoPict="0" altText="">
                <anchor moveWithCells="1">
                  <from>
                    <xdr:col>10</xdr:col>
                    <xdr:colOff>209550</xdr:colOff>
                    <xdr:row>44</xdr:row>
                    <xdr:rowOff>180975</xdr:rowOff>
                  </from>
                  <to>
                    <xdr:col>12</xdr:col>
                    <xdr:colOff>38100</xdr:colOff>
                    <xdr:row>46</xdr:row>
                    <xdr:rowOff>9525</xdr:rowOff>
                  </to>
                </anchor>
              </controlPr>
            </control>
          </mc:Choice>
        </mc:AlternateContent>
        <mc:AlternateContent xmlns:mc="http://schemas.openxmlformats.org/markup-compatibility/2006">
          <mc:Choice Requires="x14">
            <control shapeId="144450" r:id="rId69" name="Check_x0020_Box_x0020_69">
              <controlPr defaultSize="0" autoFill="0" autoLine="0" autoPict="0" altText="">
                <anchor moveWithCells="1">
                  <from>
                    <xdr:col>19</xdr:col>
                    <xdr:colOff>209550</xdr:colOff>
                    <xdr:row>44</xdr:row>
                    <xdr:rowOff>180975</xdr:rowOff>
                  </from>
                  <to>
                    <xdr:col>21</xdr:col>
                    <xdr:colOff>38100</xdr:colOff>
                    <xdr:row>46</xdr:row>
                    <xdr:rowOff>9525</xdr:rowOff>
                  </to>
                </anchor>
              </controlPr>
            </control>
          </mc:Choice>
        </mc:AlternateContent>
        <mc:AlternateContent xmlns:mc="http://schemas.openxmlformats.org/markup-compatibility/2006">
          <mc:Choice Requires="x14">
            <control shapeId="144451" r:id="rId70" name="Check_x0020_Box_x0020_70">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144452" r:id="rId71" name="Check_x0020_Box_x0020_71">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144453" r:id="rId72" name="Check_x0020_Box_x0020_72">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144454" r:id="rId7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144455" r:id="rId7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4456" r:id="rId7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4457" r:id="rId7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144458" r:id="rId7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144459" r:id="rId7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144460" r:id="rId7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144461" r:id="rId8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144462" r:id="rId8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144463" r:id="rId8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144464" r:id="rId8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144465" r:id="rId8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144466" r:id="rId8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144467" r:id="rId8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144468" r:id="rId8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144469" r:id="rId8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144470" r:id="rId8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144471" r:id="rId9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144472" r:id="rId91" name="Check_x0020_Box_x0020_92">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144473" r:id="rId92" name="Check_x0020_Box_x0020_93">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144474" r:id="rId9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144475" r:id="rId9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4476" r:id="rId9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4477" r:id="rId96" name="Check_x0020_Box_x0020_97">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4478" r:id="rId97" name="Check_x0020_Box_x0020_98">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4479" r:id="rId98" name="Check_x0020_Box_x0020_99">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4480" r:id="rId99" name="Check_x0020_Box_x0020_100">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4481" r:id="rId10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144482" r:id="rId10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144483" r:id="rId10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144484" r:id="rId10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144485" r:id="rId10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144486" r:id="rId10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144487" r:id="rId10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144488" r:id="rId10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144489" r:id="rId108" name="Check Box 105">
              <controlPr defaultSize="0" autoFill="0" autoLine="0" autoPict="0" altText="">
                <anchor moveWithCells="1">
                  <from>
                    <xdr:col>8</xdr:col>
                    <xdr:colOff>0</xdr:colOff>
                    <xdr:row>51</xdr:row>
                    <xdr:rowOff>0</xdr:rowOff>
                  </from>
                  <to>
                    <xdr:col>9</xdr:col>
                    <xdr:colOff>66675</xdr:colOff>
                    <xdr:row>52</xdr:row>
                    <xdr:rowOff>19050</xdr:rowOff>
                  </to>
                </anchor>
              </controlPr>
            </control>
          </mc:Choice>
        </mc:AlternateContent>
        <mc:AlternateContent xmlns:mc="http://schemas.openxmlformats.org/markup-compatibility/2006">
          <mc:Choice Requires="x14">
            <control shapeId="144490" r:id="rId109" name="Check Box 106">
              <controlPr defaultSize="0" autoFill="0" autoLine="0" autoPict="0" altText="">
                <anchor moveWithCells="1">
                  <from>
                    <xdr:col>30</xdr:col>
                    <xdr:colOff>0</xdr:colOff>
                    <xdr:row>51</xdr:row>
                    <xdr:rowOff>0</xdr:rowOff>
                  </from>
                  <to>
                    <xdr:col>31</xdr:col>
                    <xdr:colOff>66675</xdr:colOff>
                    <xdr:row>52</xdr:row>
                    <xdr:rowOff>19050</xdr:rowOff>
                  </to>
                </anchor>
              </controlPr>
            </control>
          </mc:Choice>
        </mc:AlternateContent>
        <mc:AlternateContent xmlns:mc="http://schemas.openxmlformats.org/markup-compatibility/2006">
          <mc:Choice Requires="x14">
            <control shapeId="144491" r:id="rId110" name="Check Box 107">
              <controlPr defaultSize="0" autoFill="0" autoLine="0" autoPict="0" altText="">
                <anchor moveWithCells="1">
                  <from>
                    <xdr:col>10</xdr:col>
                    <xdr:colOff>209550</xdr:colOff>
                    <xdr:row>51</xdr:row>
                    <xdr:rowOff>0</xdr:rowOff>
                  </from>
                  <to>
                    <xdr:col>12</xdr:col>
                    <xdr:colOff>38100</xdr:colOff>
                    <xdr:row>52</xdr:row>
                    <xdr:rowOff>19050</xdr:rowOff>
                  </to>
                </anchor>
              </controlPr>
            </control>
          </mc:Choice>
        </mc:AlternateContent>
        <mc:AlternateContent xmlns:mc="http://schemas.openxmlformats.org/markup-compatibility/2006">
          <mc:Choice Requires="x14">
            <control shapeId="144492" r:id="rId111" name="Check Box 108">
              <controlPr defaultSize="0" autoFill="0" autoLine="0" autoPict="0" altText="">
                <anchor moveWithCells="1">
                  <from>
                    <xdr:col>8</xdr:col>
                    <xdr:colOff>0</xdr:colOff>
                    <xdr:row>51</xdr:row>
                    <xdr:rowOff>180975</xdr:rowOff>
                  </from>
                  <to>
                    <xdr:col>9</xdr:col>
                    <xdr:colOff>66675</xdr:colOff>
                    <xdr:row>53</xdr:row>
                    <xdr:rowOff>9525</xdr:rowOff>
                  </to>
                </anchor>
              </controlPr>
            </control>
          </mc:Choice>
        </mc:AlternateContent>
        <mc:AlternateContent xmlns:mc="http://schemas.openxmlformats.org/markup-compatibility/2006">
          <mc:Choice Requires="x14">
            <control shapeId="144493" r:id="rId112" name="Check Box 109">
              <controlPr defaultSize="0" autoFill="0" autoLine="0" autoPict="0" altText="">
                <anchor moveWithCells="1">
                  <from>
                    <xdr:col>30</xdr:col>
                    <xdr:colOff>0</xdr:colOff>
                    <xdr:row>51</xdr:row>
                    <xdr:rowOff>180975</xdr:rowOff>
                  </from>
                  <to>
                    <xdr:col>31</xdr:col>
                    <xdr:colOff>66675</xdr:colOff>
                    <xdr:row>53</xdr:row>
                    <xdr:rowOff>9525</xdr:rowOff>
                  </to>
                </anchor>
              </controlPr>
            </control>
          </mc:Choice>
        </mc:AlternateContent>
        <mc:AlternateContent xmlns:mc="http://schemas.openxmlformats.org/markup-compatibility/2006">
          <mc:Choice Requires="x14">
            <control shapeId="144494" r:id="rId113" name="Check Box 110">
              <controlPr defaultSize="0" autoFill="0" autoLine="0" autoPict="0" altText="">
                <anchor moveWithCells="1">
                  <from>
                    <xdr:col>10</xdr:col>
                    <xdr:colOff>209550</xdr:colOff>
                    <xdr:row>51</xdr:row>
                    <xdr:rowOff>180975</xdr:rowOff>
                  </from>
                  <to>
                    <xdr:col>12</xdr:col>
                    <xdr:colOff>38100</xdr:colOff>
                    <xdr:row>53</xdr:row>
                    <xdr:rowOff>9525</xdr:rowOff>
                  </to>
                </anchor>
              </controlPr>
            </control>
          </mc:Choice>
        </mc:AlternateContent>
        <mc:AlternateContent xmlns:mc="http://schemas.openxmlformats.org/markup-compatibility/2006">
          <mc:Choice Requires="x14">
            <control shapeId="144495" r:id="rId114" name="Check Box 111">
              <controlPr defaultSize="0" autoFill="0" autoLine="0" autoPict="0" altText="">
                <anchor moveWithCells="1">
                  <from>
                    <xdr:col>3</xdr:col>
                    <xdr:colOff>219075</xdr:colOff>
                    <xdr:row>56</xdr:row>
                    <xdr:rowOff>180975</xdr:rowOff>
                  </from>
                  <to>
                    <xdr:col>5</xdr:col>
                    <xdr:colOff>47625</xdr:colOff>
                    <xdr:row>58</xdr:row>
                    <xdr:rowOff>9525</xdr:rowOff>
                  </to>
                </anchor>
              </controlPr>
            </control>
          </mc:Choice>
        </mc:AlternateContent>
        <mc:AlternateContent xmlns:mc="http://schemas.openxmlformats.org/markup-compatibility/2006">
          <mc:Choice Requires="x14">
            <control shapeId="144496" r:id="rId115" name="Check Box 112">
              <controlPr defaultSize="0" autoFill="0" autoLine="0" autoPict="0" altText="">
                <anchor moveWithCells="1">
                  <from>
                    <xdr:col>14</xdr:col>
                    <xdr:colOff>209550</xdr:colOff>
                    <xdr:row>51</xdr:row>
                    <xdr:rowOff>180975</xdr:rowOff>
                  </from>
                  <to>
                    <xdr:col>16</xdr:col>
                    <xdr:colOff>38100</xdr:colOff>
                    <xdr:row>53</xdr:row>
                    <xdr:rowOff>9525</xdr:rowOff>
                  </to>
                </anchor>
              </controlPr>
            </control>
          </mc:Choice>
        </mc:AlternateContent>
        <mc:AlternateContent xmlns:mc="http://schemas.openxmlformats.org/markup-compatibility/2006">
          <mc:Choice Requires="x14">
            <control shapeId="144497" r:id="rId116" name="Check Box 113">
              <controlPr defaultSize="0" autoFill="0" autoLine="0" autoPict="0" altText="">
                <anchor moveWithCells="1">
                  <from>
                    <xdr:col>17</xdr:col>
                    <xdr:colOff>209550</xdr:colOff>
                    <xdr:row>51</xdr:row>
                    <xdr:rowOff>180975</xdr:rowOff>
                  </from>
                  <to>
                    <xdr:col>19</xdr:col>
                    <xdr:colOff>38100</xdr:colOff>
                    <xdr:row>53</xdr:row>
                    <xdr:rowOff>9525</xdr:rowOff>
                  </to>
                </anchor>
              </controlPr>
            </control>
          </mc:Choice>
        </mc:AlternateContent>
        <mc:AlternateContent xmlns:mc="http://schemas.openxmlformats.org/markup-compatibility/2006">
          <mc:Choice Requires="x14">
            <control shapeId="144498" r:id="rId117" name="Check Box 114">
              <controlPr defaultSize="0" autoFill="0" autoLine="0" autoPict="0" altText="">
                <anchor moveWithCells="1">
                  <from>
                    <xdr:col>21</xdr:col>
                    <xdr:colOff>209550</xdr:colOff>
                    <xdr:row>51</xdr:row>
                    <xdr:rowOff>180975</xdr:rowOff>
                  </from>
                  <to>
                    <xdr:col>23</xdr:col>
                    <xdr:colOff>38100</xdr:colOff>
                    <xdr:row>53</xdr:row>
                    <xdr:rowOff>9525</xdr:rowOff>
                  </to>
                </anchor>
              </controlPr>
            </control>
          </mc:Choice>
        </mc:AlternateContent>
        <mc:AlternateContent xmlns:mc="http://schemas.openxmlformats.org/markup-compatibility/2006">
          <mc:Choice Requires="x14">
            <control shapeId="144499" r:id="rId118" name="Check Box 115">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4500" r:id="rId119" name="Check Box 116">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4501" r:id="rId120" name="Check Box 117">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4502" r:id="rId121" name="Check Box 118">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4503" r:id="rId122"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144504" r:id="rId123"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144505" r:id="rId124"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144506" r:id="rId125" name="Check Box 122">
              <controlPr defaultSize="0" autoFill="0" autoLine="0" autoPict="0" altText="">
                <anchor moveWithCells="1">
                  <from>
                    <xdr:col>9</xdr:col>
                    <xdr:colOff>209550</xdr:colOff>
                    <xdr:row>54</xdr:row>
                    <xdr:rowOff>180975</xdr:rowOff>
                  </from>
                  <to>
                    <xdr:col>11</xdr:col>
                    <xdr:colOff>38100</xdr:colOff>
                    <xdr:row>56</xdr:row>
                    <xdr:rowOff>9525</xdr:rowOff>
                  </to>
                </anchor>
              </controlPr>
            </control>
          </mc:Choice>
        </mc:AlternateContent>
        <mc:AlternateContent xmlns:mc="http://schemas.openxmlformats.org/markup-compatibility/2006">
          <mc:Choice Requires="x14">
            <control shapeId="144507" r:id="rId126" name="Check Box 123">
              <controlPr defaultSize="0" autoFill="0" autoLine="0" autoPict="0" altText="">
                <anchor moveWithCells="1">
                  <from>
                    <xdr:col>3</xdr:col>
                    <xdr:colOff>209550</xdr:colOff>
                    <xdr:row>53</xdr:row>
                    <xdr:rowOff>180975</xdr:rowOff>
                  </from>
                  <to>
                    <xdr:col>5</xdr:col>
                    <xdr:colOff>38100</xdr:colOff>
                    <xdr:row>55</xdr:row>
                    <xdr:rowOff>9525</xdr:rowOff>
                  </to>
                </anchor>
              </controlPr>
            </control>
          </mc:Choice>
        </mc:AlternateContent>
        <mc:AlternateContent xmlns:mc="http://schemas.openxmlformats.org/markup-compatibility/2006">
          <mc:Choice Requires="x14">
            <control shapeId="144508" r:id="rId127" name="Check Box 124">
              <controlPr defaultSize="0" autoFill="0" autoLine="0" autoPict="0" altText="">
                <anchor moveWithCells="1">
                  <from>
                    <xdr:col>3</xdr:col>
                    <xdr:colOff>209550</xdr:colOff>
                    <xdr:row>54</xdr:row>
                    <xdr:rowOff>180975</xdr:rowOff>
                  </from>
                  <to>
                    <xdr:col>5</xdr:col>
                    <xdr:colOff>38100</xdr:colOff>
                    <xdr:row>56</xdr:row>
                    <xdr:rowOff>9525</xdr:rowOff>
                  </to>
                </anchor>
              </controlPr>
            </control>
          </mc:Choice>
        </mc:AlternateContent>
        <mc:AlternateContent xmlns:mc="http://schemas.openxmlformats.org/markup-compatibility/2006">
          <mc:Choice Requires="x14">
            <control shapeId="144509" r:id="rId128" name="Check Box 125">
              <controlPr defaultSize="0" autoFill="0" autoLine="0" autoPict="0" altText="">
                <anchor moveWithCells="1">
                  <from>
                    <xdr:col>9</xdr:col>
                    <xdr:colOff>209550</xdr:colOff>
                    <xdr:row>55</xdr:row>
                    <xdr:rowOff>180975</xdr:rowOff>
                  </from>
                  <to>
                    <xdr:col>11</xdr:col>
                    <xdr:colOff>38100</xdr:colOff>
                    <xdr:row>57</xdr:row>
                    <xdr:rowOff>9525</xdr:rowOff>
                  </to>
                </anchor>
              </controlPr>
            </control>
          </mc:Choice>
        </mc:AlternateContent>
        <mc:AlternateContent xmlns:mc="http://schemas.openxmlformats.org/markup-compatibility/2006">
          <mc:Choice Requires="x14">
            <control shapeId="144510" r:id="rId129" name="Check Box 126">
              <controlPr defaultSize="0" autoFill="0" autoLine="0" autoPict="0" altText="">
                <anchor moveWithCells="1">
                  <from>
                    <xdr:col>14</xdr:col>
                    <xdr:colOff>209550</xdr:colOff>
                    <xdr:row>54</xdr:row>
                    <xdr:rowOff>180975</xdr:rowOff>
                  </from>
                  <to>
                    <xdr:col>16</xdr:col>
                    <xdr:colOff>38100</xdr:colOff>
                    <xdr:row>56</xdr:row>
                    <xdr:rowOff>9525</xdr:rowOff>
                  </to>
                </anchor>
              </controlPr>
            </control>
          </mc:Choice>
        </mc:AlternateContent>
        <mc:AlternateContent xmlns:mc="http://schemas.openxmlformats.org/markup-compatibility/2006">
          <mc:Choice Requires="x14">
            <control shapeId="144511" r:id="rId130" name="Check Box 127">
              <controlPr defaultSize="0" autoFill="0" autoLine="0" autoPict="0" altText="">
                <anchor moveWithCells="1">
                  <from>
                    <xdr:col>9</xdr:col>
                    <xdr:colOff>209550</xdr:colOff>
                    <xdr:row>53</xdr:row>
                    <xdr:rowOff>180975</xdr:rowOff>
                  </from>
                  <to>
                    <xdr:col>11</xdr:col>
                    <xdr:colOff>38100</xdr:colOff>
                    <xdr:row>55</xdr:row>
                    <xdr:rowOff>9525</xdr:rowOff>
                  </to>
                </anchor>
              </controlPr>
            </control>
          </mc:Choice>
        </mc:AlternateContent>
        <mc:AlternateContent xmlns:mc="http://schemas.openxmlformats.org/markup-compatibility/2006">
          <mc:Choice Requires="x14">
            <control shapeId="144512" r:id="rId131" name="Check Box 128">
              <controlPr defaultSize="0" autoFill="0" autoLine="0" autoPict="0" altText="">
                <anchor moveWithCells="1">
                  <from>
                    <xdr:col>3</xdr:col>
                    <xdr:colOff>209550</xdr:colOff>
                    <xdr:row>55</xdr:row>
                    <xdr:rowOff>180975</xdr:rowOff>
                  </from>
                  <to>
                    <xdr:col>5</xdr:col>
                    <xdr:colOff>38100</xdr:colOff>
                    <xdr:row>57</xdr:row>
                    <xdr:rowOff>9525</xdr:rowOff>
                  </to>
                </anchor>
              </controlPr>
            </control>
          </mc:Choice>
        </mc:AlternateContent>
        <mc:AlternateContent xmlns:mc="http://schemas.openxmlformats.org/markup-compatibility/2006">
          <mc:Choice Requires="x14">
            <control shapeId="144513" r:id="rId132" name="Check Box 129">
              <controlPr defaultSize="0" autoFill="0" autoLine="0" autoPict="0" altText="">
                <anchor moveWithCells="1">
                  <from>
                    <xdr:col>14</xdr:col>
                    <xdr:colOff>209550</xdr:colOff>
                    <xdr:row>55</xdr:row>
                    <xdr:rowOff>180975</xdr:rowOff>
                  </from>
                  <to>
                    <xdr:col>16</xdr:col>
                    <xdr:colOff>38100</xdr:colOff>
                    <xdr:row>57</xdr:row>
                    <xdr:rowOff>9525</xdr:rowOff>
                  </to>
                </anchor>
              </controlPr>
            </control>
          </mc:Choice>
        </mc:AlternateContent>
        <mc:AlternateContent xmlns:mc="http://schemas.openxmlformats.org/markup-compatibility/2006">
          <mc:Choice Requires="x14">
            <control shapeId="144514" r:id="rId133" name="Check Box 130">
              <controlPr defaultSize="0" autoFill="0" autoLine="0" autoPict="0" altText="">
                <anchor moveWithCells="1">
                  <from>
                    <xdr:col>19</xdr:col>
                    <xdr:colOff>209550</xdr:colOff>
                    <xdr:row>54</xdr:row>
                    <xdr:rowOff>180975</xdr:rowOff>
                  </from>
                  <to>
                    <xdr:col>21</xdr:col>
                    <xdr:colOff>38100</xdr:colOff>
                    <xdr:row>56</xdr:row>
                    <xdr:rowOff>9525</xdr:rowOff>
                  </to>
                </anchor>
              </controlPr>
            </control>
          </mc:Choice>
        </mc:AlternateContent>
        <mc:AlternateContent xmlns:mc="http://schemas.openxmlformats.org/markup-compatibility/2006">
          <mc:Choice Requires="x14">
            <control shapeId="144515" r:id="rId134" name="Check Box 131">
              <controlPr defaultSize="0" autoFill="0" autoLine="0" autoPict="0" altText="">
                <anchor moveWithCells="1">
                  <from>
                    <xdr:col>19</xdr:col>
                    <xdr:colOff>209550</xdr:colOff>
                    <xdr:row>55</xdr:row>
                    <xdr:rowOff>180975</xdr:rowOff>
                  </from>
                  <to>
                    <xdr:col>21</xdr:col>
                    <xdr:colOff>38100</xdr:colOff>
                    <xdr:row>57</xdr:row>
                    <xdr:rowOff>9525</xdr:rowOff>
                  </to>
                </anchor>
              </controlPr>
            </control>
          </mc:Choice>
        </mc:AlternateContent>
        <mc:AlternateContent xmlns:mc="http://schemas.openxmlformats.org/markup-compatibility/2006">
          <mc:Choice Requires="x14">
            <control shapeId="144516" r:id="rId135" name="Check Box 132">
              <controlPr defaultSize="0" autoFill="0" autoLine="0" autoPict="0" altText="">
                <anchor moveWithCells="1">
                  <from>
                    <xdr:col>24</xdr:col>
                    <xdr:colOff>209550</xdr:colOff>
                    <xdr:row>55</xdr:row>
                    <xdr:rowOff>180975</xdr:rowOff>
                  </from>
                  <to>
                    <xdr:col>26</xdr:col>
                    <xdr:colOff>38100</xdr:colOff>
                    <xdr:row>57</xdr:row>
                    <xdr:rowOff>9525</xdr:rowOff>
                  </to>
                </anchor>
              </controlPr>
            </control>
          </mc:Choice>
        </mc:AlternateContent>
        <mc:AlternateContent xmlns:mc="http://schemas.openxmlformats.org/markup-compatibility/2006">
          <mc:Choice Requires="x14">
            <control shapeId="144517" r:id="rId136" name="Check Box 133">
              <controlPr defaultSize="0" autoFill="0" autoLine="0" autoPict="0" altText="">
                <anchor moveWithCells="1">
                  <from>
                    <xdr:col>24</xdr:col>
                    <xdr:colOff>209550</xdr:colOff>
                    <xdr:row>54</xdr:row>
                    <xdr:rowOff>180975</xdr:rowOff>
                  </from>
                  <to>
                    <xdr:col>26</xdr:col>
                    <xdr:colOff>38100</xdr:colOff>
                    <xdr:row>56</xdr:row>
                    <xdr:rowOff>9525</xdr:rowOff>
                  </to>
                </anchor>
              </controlPr>
            </control>
          </mc:Choice>
        </mc:AlternateContent>
        <mc:AlternateContent xmlns:mc="http://schemas.openxmlformats.org/markup-compatibility/2006">
          <mc:Choice Requires="x14">
            <control shapeId="144518" r:id="rId137" name="Check Box 134">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144519" r:id="rId138" name="Check Box 135">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144520" r:id="rId139"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144521" r:id="rId140"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144522" r:id="rId141"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144523" r:id="rId142"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2065187536243"/>
    <pageSetUpPr fitToPage="1"/>
  </sheetPr>
  <dimension ref="A1:BE64"/>
  <sheetViews>
    <sheetView zoomScaleNormal="100" zoomScaleSheetLayoutView="93" workbookViewId="0"/>
  </sheetViews>
  <sheetFormatPr defaultColWidth="3.125" defaultRowHeight="15" customHeight="1"/>
  <cols>
    <col min="1" max="1" width="0.875" style="1022" customWidth="1"/>
    <col min="2" max="7" width="3.125" style="1022" customWidth="1"/>
    <col min="8" max="8" width="0.875" style="1022" customWidth="1"/>
    <col min="9" max="29" width="3.125" style="1022" customWidth="1"/>
    <col min="30" max="30" width="0.875" style="1022" customWidth="1"/>
    <col min="31" max="33" width="3.125" style="1022" customWidth="1"/>
    <col min="34" max="34" width="0.875" style="1022" customWidth="1"/>
    <col min="35" max="35" width="3.125" style="1023" customWidth="1"/>
    <col min="36" max="16384" width="3.125" style="1023"/>
  </cols>
  <sheetData>
    <row r="1" spans="1:57" ht="15" customHeight="1">
      <c r="B1" s="1022" t="s">
        <v>3733</v>
      </c>
      <c r="X1" s="1614">
        <v>20220401</v>
      </c>
      <c r="Y1" s="1614"/>
      <c r="Z1" s="1614"/>
      <c r="AA1" s="1614"/>
      <c r="AB1" s="1614"/>
      <c r="AC1" s="1614"/>
      <c r="AD1" s="1614"/>
      <c r="AE1" s="1614"/>
      <c r="AF1" s="1614"/>
      <c r="AG1" s="1614"/>
    </row>
    <row r="2" spans="1:57" ht="21">
      <c r="B2" s="1615" t="s">
        <v>3734</v>
      </c>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row>
    <row r="3" spans="1:57" ht="5.0999999999999996" customHeight="1">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row>
    <row r="4" spans="1:57" ht="15" customHeight="1">
      <c r="L4" s="1023"/>
      <c r="M4" s="1023"/>
      <c r="N4" s="1023"/>
      <c r="O4" s="1023"/>
      <c r="P4" s="1023"/>
      <c r="Q4" s="1023"/>
      <c r="R4" s="1023"/>
      <c r="S4" s="1023"/>
      <c r="T4" s="1023"/>
      <c r="U4" s="1025"/>
      <c r="V4" s="1025"/>
      <c r="W4" s="1025"/>
      <c r="X4" s="1026" t="s">
        <v>3735</v>
      </c>
      <c r="Y4" s="1026"/>
      <c r="Z4" s="1027" t="s">
        <v>3736</v>
      </c>
      <c r="AA4" s="1028"/>
      <c r="AB4" s="1029" t="s">
        <v>371</v>
      </c>
      <c r="AC4" s="1616"/>
      <c r="AD4" s="1617"/>
      <c r="AE4" s="1029" t="s">
        <v>4</v>
      </c>
      <c r="AF4" s="1028"/>
      <c r="AG4" s="1029" t="s">
        <v>373</v>
      </c>
      <c r="AH4" s="1025"/>
      <c r="AI4" s="1025"/>
    </row>
    <row r="5" spans="1:57" ht="5.0999999999999996" customHeight="1">
      <c r="T5" s="1030"/>
    </row>
    <row r="6" spans="1:57" ht="15" customHeight="1">
      <c r="B6" s="1022" t="s">
        <v>3737</v>
      </c>
      <c r="T6" s="1030"/>
    </row>
    <row r="7" spans="1:57" ht="15" customHeight="1">
      <c r="B7" s="1022" t="s">
        <v>3738</v>
      </c>
    </row>
    <row r="8" spans="1:57" ht="5.0999999999999996" customHeight="1"/>
    <row r="9" spans="1:57" ht="19.5" customHeight="1" thickBot="1">
      <c r="A9" s="1031"/>
      <c r="B9" s="1032" t="s">
        <v>3739</v>
      </c>
      <c r="C9" s="1032"/>
      <c r="D9" s="1032"/>
      <c r="E9" s="1032"/>
      <c r="F9" s="1032"/>
      <c r="G9" s="1032"/>
      <c r="H9" s="1031"/>
      <c r="I9" s="1618" t="str">
        <f>cst_wskakunin_BUILD__address</f>
        <v/>
      </c>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033"/>
    </row>
    <row r="10" spans="1:57" ht="15" customHeight="1" thickTop="1">
      <c r="A10" s="1031"/>
      <c r="B10" s="1032" t="s">
        <v>3740</v>
      </c>
      <c r="C10" s="1032"/>
      <c r="D10" s="1032"/>
      <c r="E10" s="1032"/>
      <c r="F10" s="1032"/>
      <c r="G10" s="1032"/>
      <c r="H10" s="1031"/>
      <c r="I10" s="1034"/>
      <c r="J10" s="1035" t="s">
        <v>3741</v>
      </c>
      <c r="K10" s="1036" t="s">
        <v>401</v>
      </c>
      <c r="L10" s="1034"/>
      <c r="M10" s="1035" t="s">
        <v>362</v>
      </c>
      <c r="N10" s="1035"/>
      <c r="O10" s="1035"/>
      <c r="P10" s="1035"/>
      <c r="Q10" s="1034"/>
      <c r="R10" s="1035" t="s">
        <v>363</v>
      </c>
      <c r="S10" s="1035"/>
      <c r="T10" s="1035"/>
      <c r="U10" s="1035"/>
      <c r="V10" s="1035"/>
      <c r="W10" s="1034"/>
      <c r="X10" s="1035" t="s">
        <v>3742</v>
      </c>
      <c r="Y10" s="1035"/>
      <c r="Z10" s="1035" t="s">
        <v>6</v>
      </c>
      <c r="AA10" s="1035"/>
      <c r="AB10" s="1035"/>
      <c r="AC10" s="1037"/>
      <c r="AD10" s="1035"/>
      <c r="AE10" s="1034"/>
      <c r="AF10" s="1035" t="s">
        <v>3743</v>
      </c>
      <c r="AG10" s="1035"/>
      <c r="AH10" s="1038"/>
      <c r="AJ10" s="1039" t="s">
        <v>3744</v>
      </c>
      <c r="AK10" s="1040"/>
      <c r="AL10" s="1040"/>
      <c r="AM10" s="1040"/>
      <c r="AN10" s="1040"/>
      <c r="AO10" s="1040"/>
      <c r="AP10" s="1041"/>
      <c r="AQ10" s="1041"/>
      <c r="AR10" s="1041"/>
      <c r="AS10" s="1041"/>
      <c r="AT10" s="1041"/>
      <c r="AU10" s="1041"/>
      <c r="AV10" s="1041"/>
      <c r="AW10" s="1041"/>
      <c r="AX10" s="1041"/>
      <c r="AY10" s="1041"/>
      <c r="AZ10" s="1041"/>
      <c r="BA10" s="1041"/>
      <c r="BB10" s="1041"/>
      <c r="BC10" s="1041"/>
      <c r="BD10" s="1041"/>
      <c r="BE10" s="1042"/>
    </row>
    <row r="11" spans="1:57" ht="15" customHeight="1">
      <c r="A11" s="1043"/>
      <c r="B11" s="1022" t="s">
        <v>126</v>
      </c>
      <c r="H11" s="1043"/>
      <c r="I11" s="1044"/>
      <c r="J11" s="1045" t="s">
        <v>3745</v>
      </c>
      <c r="M11" s="1046"/>
      <c r="N11" s="1047" t="s">
        <v>3746</v>
      </c>
      <c r="O11" s="1046"/>
      <c r="P11" s="1022" t="s">
        <v>6</v>
      </c>
      <c r="Q11" s="1022" t="s">
        <v>3747</v>
      </c>
      <c r="T11" s="1044"/>
      <c r="U11" s="1022" t="s">
        <v>3748</v>
      </c>
      <c r="V11" s="1619" t="s">
        <v>376</v>
      </c>
      <c r="W11" s="1619"/>
      <c r="X11" s="1022" t="s">
        <v>3749</v>
      </c>
      <c r="Y11" s="1044"/>
      <c r="Z11" s="1022" t="s">
        <v>3750</v>
      </c>
      <c r="AA11" s="1022" t="s">
        <v>3751</v>
      </c>
      <c r="AB11" s="1022" t="s">
        <v>3752</v>
      </c>
      <c r="AH11" s="1048"/>
      <c r="AJ11" s="1612">
        <v>42795</v>
      </c>
      <c r="AK11" s="1613"/>
      <c r="AL11" s="1613"/>
      <c r="AM11" s="1613"/>
      <c r="AN11" s="1613"/>
      <c r="AO11" s="1049" t="s">
        <v>2730</v>
      </c>
      <c r="AP11" s="1050"/>
      <c r="AQ11" s="1050"/>
      <c r="AR11" s="1050"/>
      <c r="AS11" s="1050"/>
      <c r="AT11" s="1050"/>
      <c r="AU11" s="1050"/>
      <c r="AV11" s="1050"/>
      <c r="AW11" s="1050"/>
      <c r="AX11" s="1050"/>
      <c r="AY11" s="1050"/>
      <c r="AZ11" s="1050"/>
      <c r="BA11" s="1050"/>
      <c r="BB11" s="1050"/>
      <c r="BC11" s="1050"/>
      <c r="BD11" s="1050"/>
      <c r="BE11" s="1051"/>
    </row>
    <row r="12" spans="1:57" ht="15" customHeight="1">
      <c r="A12" s="1043"/>
      <c r="B12" s="1052" t="s">
        <v>3753</v>
      </c>
      <c r="H12" s="1043"/>
      <c r="I12" s="1044"/>
      <c r="J12" s="1045" t="s">
        <v>3754</v>
      </c>
      <c r="M12" s="1046"/>
      <c r="N12" s="1047" t="s">
        <v>3746</v>
      </c>
      <c r="O12" s="1046"/>
      <c r="P12" s="1022" t="s">
        <v>6</v>
      </c>
      <c r="AH12" s="1048"/>
      <c r="AJ12" s="1612">
        <v>43556</v>
      </c>
      <c r="AK12" s="1613"/>
      <c r="AL12" s="1613"/>
      <c r="AM12" s="1613"/>
      <c r="AN12" s="1613"/>
      <c r="AO12" s="1049" t="s">
        <v>3755</v>
      </c>
      <c r="AP12" s="1050"/>
      <c r="AQ12" s="1050"/>
      <c r="AR12" s="1050"/>
      <c r="AS12" s="1050"/>
      <c r="AT12" s="1050"/>
      <c r="AU12" s="1050"/>
      <c r="AV12" s="1050"/>
      <c r="AW12" s="1050"/>
      <c r="AX12" s="1050"/>
      <c r="AY12" s="1050"/>
      <c r="AZ12" s="1050"/>
      <c r="BA12" s="1050"/>
      <c r="BB12" s="1050"/>
      <c r="BC12" s="1050"/>
      <c r="BD12" s="1050"/>
      <c r="BE12" s="1051"/>
    </row>
    <row r="13" spans="1:57" ht="15" customHeight="1">
      <c r="A13" s="1043"/>
      <c r="H13" s="1043"/>
      <c r="I13" s="1044"/>
      <c r="J13" s="1620" t="s">
        <v>3756</v>
      </c>
      <c r="K13" s="1620"/>
      <c r="L13" s="1620"/>
      <c r="M13" s="1046"/>
      <c r="N13" s="1047" t="s">
        <v>3746</v>
      </c>
      <c r="O13" s="1046"/>
      <c r="P13" s="1022" t="s">
        <v>6</v>
      </c>
      <c r="Q13" s="1044"/>
      <c r="R13" s="1045" t="s">
        <v>3757</v>
      </c>
      <c r="U13" s="1046"/>
      <c r="V13" s="1047" t="s">
        <v>3746</v>
      </c>
      <c r="W13" s="1046"/>
      <c r="X13" s="1022" t="s">
        <v>6</v>
      </c>
      <c r="Y13" s="1044"/>
      <c r="Z13" s="1045" t="s">
        <v>3758</v>
      </c>
      <c r="AC13" s="1046"/>
      <c r="AE13" s="1047" t="s">
        <v>3746</v>
      </c>
      <c r="AF13" s="1046"/>
      <c r="AG13" s="1022" t="s">
        <v>6</v>
      </c>
      <c r="AH13" s="1048"/>
      <c r="AJ13" s="1053"/>
      <c r="AK13" s="1050"/>
      <c r="AL13" s="1050"/>
      <c r="AM13" s="1050"/>
      <c r="AN13" s="1050"/>
      <c r="AO13" s="1050"/>
      <c r="AP13" s="1049" t="s">
        <v>3759</v>
      </c>
      <c r="AQ13" s="1050"/>
      <c r="AR13" s="1050"/>
      <c r="AS13" s="1050"/>
      <c r="AT13" s="1050"/>
      <c r="AU13" s="1050"/>
      <c r="AV13" s="1050"/>
      <c r="AW13" s="1050"/>
      <c r="AX13" s="1050"/>
      <c r="AY13" s="1050"/>
      <c r="AZ13" s="1050"/>
      <c r="BA13" s="1050"/>
      <c r="BB13" s="1050"/>
      <c r="BC13" s="1050"/>
      <c r="BD13" s="1050"/>
      <c r="BE13" s="1051"/>
    </row>
    <row r="14" spans="1:57" ht="15" customHeight="1">
      <c r="A14" s="1043"/>
      <c r="H14" s="1043"/>
      <c r="I14" s="1044"/>
      <c r="J14" s="1620" t="s">
        <v>3760</v>
      </c>
      <c r="K14" s="1620"/>
      <c r="L14" s="1620"/>
      <c r="M14" s="1046"/>
      <c r="N14" s="1047" t="s">
        <v>3746</v>
      </c>
      <c r="O14" s="1046"/>
      <c r="P14" s="1022" t="s">
        <v>6</v>
      </c>
      <c r="Q14" s="1044"/>
      <c r="R14" s="1045" t="s">
        <v>3761</v>
      </c>
      <c r="U14" s="1046"/>
      <c r="V14" s="1047" t="s">
        <v>3746</v>
      </c>
      <c r="W14" s="1046"/>
      <c r="X14" s="1022" t="s">
        <v>6</v>
      </c>
      <c r="Y14" s="1044"/>
      <c r="Z14" s="1045" t="s">
        <v>3762</v>
      </c>
      <c r="AC14" s="1046"/>
      <c r="AE14" s="1047" t="s">
        <v>3746</v>
      </c>
      <c r="AF14" s="1046"/>
      <c r="AG14" s="1022" t="s">
        <v>6</v>
      </c>
      <c r="AH14" s="1048"/>
      <c r="AJ14" s="1053"/>
      <c r="AK14" s="1050"/>
      <c r="AL14" s="1050"/>
      <c r="AM14" s="1050"/>
      <c r="AN14" s="1050"/>
      <c r="AO14" s="1050"/>
      <c r="AP14" s="1050" t="s">
        <v>3763</v>
      </c>
      <c r="AQ14" s="1050"/>
      <c r="AR14" s="1050"/>
      <c r="AS14" s="1050"/>
      <c r="AT14" s="1050"/>
      <c r="AU14" s="1050"/>
      <c r="AV14" s="1050"/>
      <c r="AW14" s="1050"/>
      <c r="AX14" s="1050"/>
      <c r="AY14" s="1050"/>
      <c r="AZ14" s="1050"/>
      <c r="BA14" s="1050"/>
      <c r="BB14" s="1050"/>
      <c r="BC14" s="1050"/>
      <c r="BD14" s="1050"/>
      <c r="BE14" s="1051"/>
    </row>
    <row r="15" spans="1:57" ht="15" customHeight="1">
      <c r="A15" s="1043"/>
      <c r="H15" s="1043"/>
      <c r="I15" s="1044"/>
      <c r="J15" s="1045" t="s">
        <v>3764</v>
      </c>
      <c r="M15" s="1046"/>
      <c r="N15" s="1047" t="s">
        <v>3746</v>
      </c>
      <c r="O15" s="1046"/>
      <c r="P15" s="1022" t="s">
        <v>6</v>
      </c>
      <c r="Q15" s="1044"/>
      <c r="R15" s="1045" t="s">
        <v>3765</v>
      </c>
      <c r="U15" s="1046"/>
      <c r="V15" s="1047" t="s">
        <v>3746</v>
      </c>
      <c r="W15" s="1046"/>
      <c r="X15" s="1022" t="s">
        <v>6</v>
      </c>
      <c r="Y15" s="1044"/>
      <c r="Z15" s="1045" t="s">
        <v>3766</v>
      </c>
      <c r="AC15" s="1046"/>
      <c r="AE15" s="1047" t="s">
        <v>3746</v>
      </c>
      <c r="AF15" s="1046"/>
      <c r="AG15" s="1022" t="s">
        <v>6</v>
      </c>
      <c r="AH15" s="1048"/>
      <c r="AJ15" s="1053"/>
      <c r="AK15" s="1050"/>
      <c r="AL15" s="1050"/>
      <c r="AM15" s="1050"/>
      <c r="AN15" s="1050"/>
      <c r="AO15" s="1050"/>
      <c r="AP15" s="1049" t="s">
        <v>3767</v>
      </c>
      <c r="AQ15" s="1050"/>
      <c r="AR15" s="1050"/>
      <c r="AS15" s="1050"/>
      <c r="AT15" s="1050"/>
      <c r="AU15" s="1050"/>
      <c r="AV15" s="1050"/>
      <c r="AW15" s="1050"/>
      <c r="AX15" s="1050"/>
      <c r="AY15" s="1050"/>
      <c r="AZ15" s="1050"/>
      <c r="BA15" s="1050"/>
      <c r="BB15" s="1050"/>
      <c r="BC15" s="1050"/>
      <c r="BD15" s="1050"/>
      <c r="BE15" s="1051"/>
    </row>
    <row r="16" spans="1:57" ht="15" customHeight="1">
      <c r="A16" s="1043"/>
      <c r="H16" s="1043"/>
      <c r="I16" s="1044"/>
      <c r="J16" s="1045" t="s">
        <v>3768</v>
      </c>
      <c r="M16" s="1046"/>
      <c r="N16" s="1047" t="s">
        <v>3746</v>
      </c>
      <c r="O16" s="1046"/>
      <c r="P16" s="1022" t="s">
        <v>6</v>
      </c>
      <c r="Q16" s="1044"/>
      <c r="R16" s="1045" t="s">
        <v>3769</v>
      </c>
      <c r="U16" s="1046"/>
      <c r="V16" s="1047" t="s">
        <v>3746</v>
      </c>
      <c r="W16" s="1046"/>
      <c r="X16" s="1022" t="s">
        <v>6</v>
      </c>
      <c r="Y16" s="1044"/>
      <c r="Z16" s="1045" t="s">
        <v>3770</v>
      </c>
      <c r="AC16" s="1046"/>
      <c r="AE16" s="1047" t="s">
        <v>3746</v>
      </c>
      <c r="AF16" s="1046"/>
      <c r="AG16" s="1022" t="s">
        <v>6</v>
      </c>
      <c r="AH16" s="1048"/>
      <c r="AJ16" s="1612">
        <v>44652</v>
      </c>
      <c r="AK16" s="1613"/>
      <c r="AL16" s="1613"/>
      <c r="AM16" s="1613"/>
      <c r="AN16" s="1613"/>
      <c r="AO16" s="1049" t="s">
        <v>3771</v>
      </c>
      <c r="BE16" s="1054"/>
    </row>
    <row r="17" spans="1:57" ht="15" customHeight="1">
      <c r="A17" s="1031"/>
      <c r="B17" s="1032" t="s">
        <v>3772</v>
      </c>
      <c r="C17" s="1032"/>
      <c r="D17" s="1032"/>
      <c r="E17" s="1032"/>
      <c r="F17" s="1032"/>
      <c r="G17" s="1032"/>
      <c r="H17" s="1031"/>
      <c r="I17" s="1055"/>
      <c r="J17" s="1032" t="s">
        <v>365</v>
      </c>
      <c r="K17" s="1032"/>
      <c r="L17" s="1032"/>
      <c r="M17" s="1032"/>
      <c r="N17" s="1032"/>
      <c r="O17" s="1032"/>
      <c r="P17" s="1055"/>
      <c r="Q17" s="1032" t="s">
        <v>366</v>
      </c>
      <c r="R17" s="1032"/>
      <c r="S17" s="1032"/>
      <c r="T17" s="1032"/>
      <c r="U17" s="1032"/>
      <c r="V17" s="1032"/>
      <c r="W17" s="1055"/>
      <c r="X17" s="1032" t="s">
        <v>367</v>
      </c>
      <c r="Y17" s="1032"/>
      <c r="Z17" s="1056"/>
      <c r="AA17" s="1032"/>
      <c r="AB17" s="1032"/>
      <c r="AC17" s="1032"/>
      <c r="AD17" s="1057"/>
      <c r="AE17" s="1058"/>
      <c r="AF17" s="1059" t="s">
        <v>125</v>
      </c>
      <c r="AG17" s="1032"/>
      <c r="AH17" s="1038"/>
      <c r="AJ17" s="1060"/>
      <c r="AP17" s="1050" t="s">
        <v>3773</v>
      </c>
      <c r="BE17" s="1054"/>
    </row>
    <row r="18" spans="1:57" ht="15" customHeight="1">
      <c r="A18" s="1043"/>
      <c r="B18" s="1022" t="s">
        <v>3774</v>
      </c>
      <c r="H18" s="1043"/>
      <c r="I18" s="1044"/>
      <c r="J18" s="1022" t="s">
        <v>3775</v>
      </c>
      <c r="O18" s="1061" t="s">
        <v>3776</v>
      </c>
      <c r="P18" s="1608" t="s">
        <v>376</v>
      </c>
      <c r="Q18" s="1608"/>
      <c r="R18" s="1608"/>
      <c r="S18" s="1022" t="s">
        <v>3751</v>
      </c>
      <c r="AD18" s="1057"/>
      <c r="AE18" s="1058"/>
      <c r="AF18" s="1062" t="s">
        <v>3750</v>
      </c>
      <c r="AH18" s="1048"/>
      <c r="AJ18" s="1060"/>
      <c r="AP18" s="1050" t="s">
        <v>3777</v>
      </c>
      <c r="BE18" s="1054"/>
    </row>
    <row r="19" spans="1:57" ht="15" customHeight="1">
      <c r="A19" s="1043"/>
      <c r="H19" s="1043"/>
      <c r="I19" s="1044"/>
      <c r="J19" s="1022" t="s">
        <v>3778</v>
      </c>
      <c r="O19" s="1061" t="s">
        <v>3776</v>
      </c>
      <c r="P19" s="1608"/>
      <c r="Q19" s="1608"/>
      <c r="R19" s="1608"/>
      <c r="S19" s="1608"/>
      <c r="T19" s="1608"/>
      <c r="U19" s="1608"/>
      <c r="V19" s="1608"/>
      <c r="W19" s="1608"/>
      <c r="X19" s="1608"/>
      <c r="Y19" s="1608"/>
      <c r="Z19" s="1022" t="s">
        <v>3751</v>
      </c>
      <c r="AD19" s="1063"/>
      <c r="AH19" s="1048"/>
      <c r="AJ19" s="1060"/>
      <c r="AP19" s="1050" t="s">
        <v>3779</v>
      </c>
      <c r="BE19" s="1054"/>
    </row>
    <row r="20" spans="1:57" ht="15" customHeight="1">
      <c r="A20" s="1043"/>
      <c r="H20" s="1043"/>
      <c r="I20" s="1044"/>
      <c r="J20" s="1022" t="s">
        <v>3780</v>
      </c>
      <c r="P20" s="1044"/>
      <c r="Q20" s="1022" t="s">
        <v>3781</v>
      </c>
      <c r="W20" s="1044"/>
      <c r="X20" s="1064" t="s">
        <v>3782</v>
      </c>
      <c r="AD20" s="1063"/>
      <c r="AH20" s="1048"/>
      <c r="AJ20" s="1060"/>
      <c r="AP20" s="1050" t="s">
        <v>3783</v>
      </c>
      <c r="BE20" s="1054"/>
    </row>
    <row r="21" spans="1:57" ht="15" customHeight="1">
      <c r="A21" s="1043"/>
      <c r="H21" s="1043"/>
      <c r="I21" s="1044"/>
      <c r="J21" s="1022" t="s">
        <v>3784</v>
      </c>
      <c r="P21" s="1044"/>
      <c r="Q21" s="1022" t="s">
        <v>3785</v>
      </c>
      <c r="AB21" s="1065"/>
      <c r="AD21" s="1063"/>
      <c r="AH21" s="1048"/>
      <c r="AJ21" s="1060"/>
      <c r="AP21" s="1050" t="s">
        <v>3786</v>
      </c>
      <c r="BE21" s="1054"/>
    </row>
    <row r="22" spans="1:57" ht="15" customHeight="1">
      <c r="A22" s="1043"/>
      <c r="H22" s="1043"/>
      <c r="I22" s="1044"/>
      <c r="J22" s="1022" t="s">
        <v>3787</v>
      </c>
      <c r="P22" s="1044"/>
      <c r="Q22" s="1022" t="s">
        <v>3788</v>
      </c>
      <c r="W22" s="1061" t="s">
        <v>3776</v>
      </c>
      <c r="X22" s="1608" t="s">
        <v>376</v>
      </c>
      <c r="Y22" s="1608"/>
      <c r="Z22" s="1608"/>
      <c r="AA22" s="1608"/>
      <c r="AB22" s="1608"/>
      <c r="AC22" s="1022" t="s">
        <v>3751</v>
      </c>
      <c r="AD22" s="1063"/>
      <c r="AH22" s="1048"/>
      <c r="AJ22" s="1060"/>
      <c r="AP22" s="1050" t="s">
        <v>3789</v>
      </c>
      <c r="BE22" s="1054"/>
    </row>
    <row r="23" spans="1:57" ht="15" customHeight="1" thickBot="1">
      <c r="A23" s="1043"/>
      <c r="H23" s="1066"/>
      <c r="I23" s="1034"/>
      <c r="J23" s="1022" t="s">
        <v>3082</v>
      </c>
      <c r="L23" s="1609"/>
      <c r="M23" s="1609"/>
      <c r="N23" s="1609"/>
      <c r="O23" s="1609"/>
      <c r="P23" s="1609"/>
      <c r="Q23" s="1609"/>
      <c r="R23" s="1609"/>
      <c r="S23" s="1609"/>
      <c r="T23" s="1609"/>
      <c r="U23" s="1609"/>
      <c r="V23" s="1609"/>
      <c r="W23" s="1609"/>
      <c r="X23" s="1609"/>
      <c r="Y23" s="1609"/>
      <c r="Z23" s="1609"/>
      <c r="AA23" s="1609"/>
      <c r="AB23" s="1609"/>
      <c r="AC23" s="1035" t="s">
        <v>6</v>
      </c>
      <c r="AD23" s="1067"/>
      <c r="AE23" s="1035"/>
      <c r="AF23" s="1035"/>
      <c r="AG23" s="1035"/>
      <c r="AH23" s="1068"/>
      <c r="AJ23" s="1069"/>
      <c r="AK23" s="1070"/>
      <c r="AL23" s="1070"/>
      <c r="AM23" s="1070"/>
      <c r="AN23" s="1070"/>
      <c r="AO23" s="1070"/>
      <c r="AP23" s="1071" t="s">
        <v>3790</v>
      </c>
      <c r="AQ23" s="1070"/>
      <c r="AR23" s="1070"/>
      <c r="AS23" s="1070"/>
      <c r="AT23" s="1070"/>
      <c r="AU23" s="1070"/>
      <c r="AV23" s="1070"/>
      <c r="AW23" s="1070"/>
      <c r="AX23" s="1070"/>
      <c r="AY23" s="1070"/>
      <c r="AZ23" s="1070"/>
      <c r="BA23" s="1070"/>
      <c r="BB23" s="1070"/>
      <c r="BC23" s="1070"/>
      <c r="BD23" s="1070"/>
      <c r="BE23" s="1072"/>
    </row>
    <row r="24" spans="1:57" ht="15" customHeight="1" thickTop="1">
      <c r="A24" s="1031"/>
      <c r="B24" s="1032" t="s">
        <v>3791</v>
      </c>
      <c r="C24" s="1032"/>
      <c r="D24" s="1032"/>
      <c r="E24" s="1032"/>
      <c r="F24" s="1032"/>
      <c r="G24" s="1032"/>
      <c r="H24" s="1031"/>
      <c r="I24" s="1055"/>
      <c r="J24" s="1032" t="s">
        <v>3792</v>
      </c>
      <c r="K24" s="1073"/>
      <c r="L24" s="1032"/>
      <c r="M24" s="1074"/>
      <c r="N24" s="1610"/>
      <c r="O24" s="1610"/>
      <c r="P24" s="1610"/>
      <c r="Q24" s="1610"/>
      <c r="R24" s="1610"/>
      <c r="S24" s="1610"/>
      <c r="T24" s="1073" t="s">
        <v>3793</v>
      </c>
      <c r="U24" s="1073"/>
      <c r="V24" s="1073"/>
      <c r="W24" s="1055"/>
      <c r="X24" s="1032" t="s">
        <v>3794</v>
      </c>
      <c r="Y24" s="1055"/>
      <c r="Z24" s="1032" t="s">
        <v>3795</v>
      </c>
      <c r="AA24" s="1073" t="s">
        <v>6</v>
      </c>
      <c r="AB24" s="1032"/>
      <c r="AC24" s="1032"/>
      <c r="AD24" s="1075"/>
      <c r="AE24" s="1034"/>
      <c r="AF24" s="1035" t="s">
        <v>3750</v>
      </c>
      <c r="AG24" s="1032"/>
      <c r="AH24" s="1038"/>
    </row>
    <row r="25" spans="1:57" ht="15" customHeight="1">
      <c r="A25" s="1043"/>
      <c r="B25" s="1022" t="s">
        <v>3796</v>
      </c>
      <c r="H25" s="1043"/>
      <c r="I25" s="1044"/>
      <c r="J25" s="1022" t="s">
        <v>3797</v>
      </c>
      <c r="K25" s="1061" t="s">
        <v>401</v>
      </c>
      <c r="L25" s="1044" t="s">
        <v>3794</v>
      </c>
      <c r="M25" s="1022" t="s">
        <v>3798</v>
      </c>
      <c r="O25" s="1044"/>
      <c r="P25" s="1022" t="s">
        <v>3795</v>
      </c>
      <c r="Q25" s="1022" t="s">
        <v>6</v>
      </c>
      <c r="AD25" s="1063"/>
      <c r="AE25" s="1044"/>
      <c r="AF25" s="1022" t="s">
        <v>3799</v>
      </c>
      <c r="AH25" s="1048"/>
    </row>
    <row r="26" spans="1:57" ht="15" customHeight="1">
      <c r="A26" s="1043"/>
      <c r="H26" s="1043"/>
      <c r="J26" s="1044"/>
      <c r="K26" s="1022" t="s">
        <v>3800</v>
      </c>
      <c r="L26" s="1076"/>
      <c r="M26" s="1076"/>
      <c r="N26" s="1076"/>
      <c r="P26" s="1044"/>
      <c r="Q26" s="1022" t="s">
        <v>3801</v>
      </c>
      <c r="R26" s="1076"/>
      <c r="W26" s="1044"/>
      <c r="X26" s="1022" t="s">
        <v>3802</v>
      </c>
      <c r="AD26" s="1063"/>
      <c r="AH26" s="1048"/>
    </row>
    <row r="27" spans="1:57" ht="15" customHeight="1">
      <c r="A27" s="1043"/>
      <c r="H27" s="1043"/>
      <c r="J27" s="1044"/>
      <c r="K27" s="1022" t="s">
        <v>3803</v>
      </c>
      <c r="P27" s="1044"/>
      <c r="Q27" s="1022" t="s">
        <v>3804</v>
      </c>
      <c r="W27" s="1044"/>
      <c r="X27" s="1022" t="s">
        <v>3805</v>
      </c>
      <c r="AD27" s="1063"/>
      <c r="AH27" s="1048"/>
    </row>
    <row r="28" spans="1:57" ht="15" customHeight="1">
      <c r="A28" s="1043"/>
      <c r="H28" s="1043"/>
      <c r="J28" s="1044"/>
      <c r="K28" s="1022" t="s">
        <v>3806</v>
      </c>
      <c r="P28" s="1044"/>
      <c r="Q28" s="1022" t="s">
        <v>3082</v>
      </c>
      <c r="S28" s="1611"/>
      <c r="T28" s="1611"/>
      <c r="U28" s="1611"/>
      <c r="V28" s="1611"/>
      <c r="W28" s="1611"/>
      <c r="X28" s="1611"/>
      <c r="Y28" s="1611"/>
      <c r="Z28" s="1611"/>
      <c r="AA28" s="1611"/>
      <c r="AB28" s="1611"/>
      <c r="AC28" s="1022" t="s">
        <v>6</v>
      </c>
      <c r="AD28" s="1063"/>
      <c r="AH28" s="1048"/>
    </row>
    <row r="29" spans="1:57" ht="15" customHeight="1">
      <c r="A29" s="1043"/>
      <c r="H29" s="1043"/>
      <c r="J29" s="1044"/>
      <c r="K29" s="1022" t="s">
        <v>3807</v>
      </c>
      <c r="AD29" s="1063"/>
      <c r="AH29" s="1048"/>
    </row>
    <row r="30" spans="1:57" ht="15" customHeight="1">
      <c r="A30" s="1031"/>
      <c r="B30" s="1032" t="s">
        <v>3808</v>
      </c>
      <c r="C30" s="1032"/>
      <c r="D30" s="1032"/>
      <c r="E30" s="1032"/>
      <c r="F30" s="1032"/>
      <c r="G30" s="1032"/>
      <c r="H30" s="1031"/>
      <c r="I30" s="1055"/>
      <c r="J30" s="1032" t="s">
        <v>3797</v>
      </c>
      <c r="K30" s="1056" t="s">
        <v>401</v>
      </c>
      <c r="L30" s="1055"/>
      <c r="M30" s="1032" t="s">
        <v>3798</v>
      </c>
      <c r="N30" s="1032"/>
      <c r="O30" s="1055"/>
      <c r="P30" s="1032" t="s">
        <v>3795</v>
      </c>
      <c r="Q30" s="1032" t="s">
        <v>6</v>
      </c>
      <c r="R30" s="1032"/>
      <c r="S30" s="1032"/>
      <c r="T30" s="1032"/>
      <c r="U30" s="1032"/>
      <c r="V30" s="1032"/>
      <c r="W30" s="1032"/>
      <c r="X30" s="1032"/>
      <c r="Y30" s="1032"/>
      <c r="Z30" s="1032"/>
      <c r="AA30" s="1032"/>
      <c r="AB30" s="1032"/>
      <c r="AC30" s="1032"/>
      <c r="AD30" s="1077"/>
      <c r="AE30" s="1055"/>
      <c r="AF30" s="1032" t="s">
        <v>3799</v>
      </c>
      <c r="AG30" s="1032"/>
      <c r="AH30" s="1038"/>
    </row>
    <row r="31" spans="1:57" ht="15" customHeight="1">
      <c r="A31" s="1078"/>
      <c r="B31" s="1062" t="s">
        <v>3809</v>
      </c>
      <c r="C31" s="1062"/>
      <c r="D31" s="1062"/>
      <c r="E31" s="1062"/>
      <c r="F31" s="1062"/>
      <c r="G31" s="1062"/>
      <c r="H31" s="1078"/>
      <c r="I31" s="1058"/>
      <c r="J31" s="1062" t="s">
        <v>3797</v>
      </c>
      <c r="K31" s="1079" t="s">
        <v>401</v>
      </c>
      <c r="L31" s="1058"/>
      <c r="M31" s="1062" t="s">
        <v>3798</v>
      </c>
      <c r="N31" s="1062"/>
      <c r="O31" s="1058"/>
      <c r="P31" s="1062" t="s">
        <v>3795</v>
      </c>
      <c r="Q31" s="1062" t="s">
        <v>6</v>
      </c>
      <c r="R31" s="1062"/>
      <c r="S31" s="1062"/>
      <c r="T31" s="1062"/>
      <c r="U31" s="1062"/>
      <c r="V31" s="1062"/>
      <c r="W31" s="1062"/>
      <c r="X31" s="1062"/>
      <c r="Y31" s="1062"/>
      <c r="Z31" s="1062"/>
      <c r="AA31" s="1062"/>
      <c r="AB31" s="1062"/>
      <c r="AC31" s="1062"/>
      <c r="AD31" s="1077"/>
      <c r="AE31" s="1055"/>
      <c r="AF31" s="1032" t="s">
        <v>3799</v>
      </c>
      <c r="AG31" s="1032"/>
      <c r="AH31" s="1038"/>
    </row>
    <row r="32" spans="1:57" ht="15" customHeight="1">
      <c r="A32" s="1078"/>
      <c r="B32" s="1062" t="s">
        <v>3810</v>
      </c>
      <c r="C32" s="1062"/>
      <c r="D32" s="1062"/>
      <c r="E32" s="1062"/>
      <c r="F32" s="1062"/>
      <c r="G32" s="1062"/>
      <c r="H32" s="1078"/>
      <c r="I32" s="1058"/>
      <c r="J32" s="1062" t="s">
        <v>3811</v>
      </c>
      <c r="K32" s="1062"/>
      <c r="L32" s="1062"/>
      <c r="M32" s="1062"/>
      <c r="N32" s="1062"/>
      <c r="O32" s="1062"/>
      <c r="P32" s="1062"/>
      <c r="Q32" s="1062"/>
      <c r="R32" s="1062"/>
      <c r="S32" s="1062"/>
      <c r="T32" s="1062"/>
      <c r="U32" s="1062"/>
      <c r="V32" s="1062"/>
      <c r="W32" s="1062"/>
      <c r="X32" s="1062"/>
      <c r="Y32" s="1062"/>
      <c r="Z32" s="1062"/>
      <c r="AA32" s="1062"/>
      <c r="AB32" s="1062"/>
      <c r="AC32" s="1062"/>
      <c r="AD32" s="1063"/>
      <c r="AH32" s="1048"/>
    </row>
    <row r="33" spans="1:34" ht="15" customHeight="1">
      <c r="A33" s="1043"/>
      <c r="B33" s="1022" t="s">
        <v>3812</v>
      </c>
      <c r="H33" s="1043"/>
      <c r="J33" s="1080" t="s">
        <v>3813</v>
      </c>
      <c r="K33" s="1081"/>
      <c r="L33" s="1082"/>
      <c r="M33" s="1598" t="s">
        <v>376</v>
      </c>
      <c r="N33" s="1599"/>
      <c r="O33" s="1599"/>
      <c r="P33" s="1600"/>
      <c r="Q33" s="1598" t="s">
        <v>376</v>
      </c>
      <c r="R33" s="1599"/>
      <c r="S33" s="1599"/>
      <c r="T33" s="1600"/>
      <c r="U33" s="1598" t="s">
        <v>376</v>
      </c>
      <c r="V33" s="1599"/>
      <c r="W33" s="1599"/>
      <c r="X33" s="1600"/>
      <c r="Y33" s="1598" t="s">
        <v>376</v>
      </c>
      <c r="Z33" s="1599"/>
      <c r="AA33" s="1599"/>
      <c r="AB33" s="1600"/>
      <c r="AD33" s="1063"/>
      <c r="AH33" s="1048"/>
    </row>
    <row r="34" spans="1:34" ht="15" customHeight="1">
      <c r="A34" s="1043"/>
      <c r="B34" s="1044"/>
      <c r="C34" s="1022" t="s">
        <v>3814</v>
      </c>
      <c r="E34" s="1044"/>
      <c r="F34" s="1022" t="s">
        <v>3815</v>
      </c>
      <c r="H34" s="1043"/>
      <c r="J34" s="1080" t="s">
        <v>3816</v>
      </c>
      <c r="K34" s="1081"/>
      <c r="L34" s="1082"/>
      <c r="M34" s="1596"/>
      <c r="N34" s="1597"/>
      <c r="O34" s="1597"/>
      <c r="P34" s="1083" t="s">
        <v>3749</v>
      </c>
      <c r="Q34" s="1597"/>
      <c r="R34" s="1597"/>
      <c r="S34" s="1597"/>
      <c r="T34" s="1084" t="s">
        <v>3749</v>
      </c>
      <c r="U34" s="1597"/>
      <c r="V34" s="1597"/>
      <c r="W34" s="1597"/>
      <c r="X34" s="1083" t="s">
        <v>3749</v>
      </c>
      <c r="Y34" s="1597"/>
      <c r="Z34" s="1597"/>
      <c r="AA34" s="1597"/>
      <c r="AB34" s="1083" t="s">
        <v>3749</v>
      </c>
      <c r="AD34" s="1063"/>
      <c r="AH34" s="1048"/>
    </row>
    <row r="35" spans="1:34" ht="15" customHeight="1">
      <c r="A35" s="1043"/>
      <c r="H35" s="1043"/>
      <c r="I35" s="1044"/>
      <c r="J35" s="1022" t="s">
        <v>3817</v>
      </c>
      <c r="K35" s="1085"/>
      <c r="L35" s="1085"/>
      <c r="N35" s="1085"/>
      <c r="O35" s="1085"/>
      <c r="AB35" s="1085"/>
      <c r="AD35" s="1063"/>
      <c r="AH35" s="1048"/>
    </row>
    <row r="36" spans="1:34" ht="15" customHeight="1">
      <c r="A36" s="1043"/>
      <c r="H36" s="1043"/>
      <c r="J36" s="1080" t="s">
        <v>3813</v>
      </c>
      <c r="K36" s="1081"/>
      <c r="L36" s="1082"/>
      <c r="M36" s="1598" t="s">
        <v>376</v>
      </c>
      <c r="N36" s="1599"/>
      <c r="O36" s="1599"/>
      <c r="P36" s="1600"/>
      <c r="AB36" s="1085"/>
      <c r="AD36" s="1063"/>
      <c r="AH36" s="1048"/>
    </row>
    <row r="37" spans="1:34" ht="15" customHeight="1">
      <c r="A37" s="1043"/>
      <c r="B37" s="1022" t="s">
        <v>3818</v>
      </c>
      <c r="H37" s="1043"/>
      <c r="J37" s="1086" t="s">
        <v>3819</v>
      </c>
      <c r="K37" s="1084"/>
      <c r="L37" s="1084"/>
      <c r="M37" s="1601"/>
      <c r="N37" s="1602"/>
      <c r="O37" s="1602"/>
      <c r="P37" s="1083" t="s">
        <v>3749</v>
      </c>
      <c r="Q37" s="1603" t="s">
        <v>3820</v>
      </c>
      <c r="R37" s="1603"/>
      <c r="S37" s="1603"/>
      <c r="T37" s="1603"/>
      <c r="U37" s="1603"/>
      <c r="V37" s="1604"/>
      <c r="W37" s="1605"/>
      <c r="X37" s="1606"/>
      <c r="Y37" s="1084" t="s">
        <v>374</v>
      </c>
      <c r="Z37" s="1606"/>
      <c r="AA37" s="1606"/>
      <c r="AB37" s="1083" t="s">
        <v>375</v>
      </c>
      <c r="AD37" s="1063"/>
      <c r="AH37" s="1048"/>
    </row>
    <row r="38" spans="1:34" ht="15" customHeight="1">
      <c r="A38" s="1043"/>
      <c r="B38" s="1044"/>
      <c r="C38" s="1022" t="s">
        <v>3797</v>
      </c>
      <c r="E38" s="1044"/>
      <c r="F38" s="1022" t="s">
        <v>3799</v>
      </c>
      <c r="H38" s="1043"/>
      <c r="I38" s="1044"/>
      <c r="J38" s="1022" t="s">
        <v>3821</v>
      </c>
      <c r="AD38" s="1063"/>
      <c r="AH38" s="1048"/>
    </row>
    <row r="39" spans="1:34" ht="15" customHeight="1">
      <c r="A39" s="1043"/>
      <c r="H39" s="1043"/>
      <c r="J39" s="1080" t="s">
        <v>3816</v>
      </c>
      <c r="K39" s="1081"/>
      <c r="L39" s="1082"/>
      <c r="M39" s="1596"/>
      <c r="N39" s="1597"/>
      <c r="O39" s="1597"/>
      <c r="P39" s="1083" t="s">
        <v>3749</v>
      </c>
      <c r="Q39" s="1596"/>
      <c r="R39" s="1597"/>
      <c r="S39" s="1597"/>
      <c r="T39" s="1084" t="s">
        <v>3749</v>
      </c>
      <c r="U39" s="1597"/>
      <c r="V39" s="1597"/>
      <c r="W39" s="1597"/>
      <c r="X39" s="1083" t="s">
        <v>3749</v>
      </c>
      <c r="Y39" s="1597"/>
      <c r="Z39" s="1597"/>
      <c r="AA39" s="1597"/>
      <c r="AB39" s="1083" t="s">
        <v>3749</v>
      </c>
      <c r="AD39" s="1063"/>
      <c r="AH39" s="1048"/>
    </row>
    <row r="40" spans="1:34" ht="15" customHeight="1">
      <c r="A40" s="1043"/>
      <c r="H40" s="1043"/>
      <c r="J40" s="1022" t="s">
        <v>3822</v>
      </c>
      <c r="P40" s="1044"/>
      <c r="Q40" s="1022" t="s">
        <v>3748</v>
      </c>
      <c r="R40" s="1023" t="s">
        <v>401</v>
      </c>
      <c r="S40" s="1044"/>
      <c r="T40" s="1022" t="s">
        <v>3823</v>
      </c>
      <c r="V40" s="1044"/>
      <c r="W40" s="1022" t="s">
        <v>3795</v>
      </c>
      <c r="X40" s="1044"/>
      <c r="Y40" s="1022" t="s">
        <v>3824</v>
      </c>
      <c r="AB40" s="1044"/>
      <c r="AC40" s="1022" t="s">
        <v>3750</v>
      </c>
      <c r="AD40" s="1063"/>
      <c r="AH40" s="1048"/>
    </row>
    <row r="41" spans="1:34" ht="15" customHeight="1">
      <c r="A41" s="1043"/>
      <c r="H41" s="1043"/>
      <c r="I41" s="1044"/>
      <c r="J41" s="1022" t="s">
        <v>3825</v>
      </c>
      <c r="AD41" s="1063"/>
      <c r="AH41" s="1048"/>
    </row>
    <row r="42" spans="1:34" ht="15" customHeight="1">
      <c r="A42" s="1043"/>
      <c r="H42" s="1066"/>
      <c r="I42" s="1035"/>
      <c r="J42" s="1035"/>
      <c r="K42" s="1034"/>
      <c r="L42" s="1035" t="s">
        <v>3826</v>
      </c>
      <c r="M42" s="1035"/>
      <c r="N42" s="1034"/>
      <c r="O42" s="1035" t="s">
        <v>3798</v>
      </c>
      <c r="P42" s="1035"/>
      <c r="Q42" s="1034"/>
      <c r="R42" s="1035" t="s">
        <v>3795</v>
      </c>
      <c r="S42" s="1035"/>
      <c r="T42" s="1035"/>
      <c r="U42" s="1035"/>
      <c r="V42" s="1035"/>
      <c r="W42" s="1035"/>
      <c r="X42" s="1035"/>
      <c r="Y42" s="1035"/>
      <c r="Z42" s="1035"/>
      <c r="AA42" s="1035"/>
      <c r="AB42" s="1035"/>
      <c r="AD42" s="1063"/>
      <c r="AG42" s="1035"/>
      <c r="AH42" s="1068"/>
    </row>
    <row r="43" spans="1:34" ht="15" customHeight="1">
      <c r="A43" s="1078"/>
      <c r="B43" s="1062" t="s">
        <v>3827</v>
      </c>
      <c r="C43" s="1062"/>
      <c r="D43" s="1062"/>
      <c r="E43" s="1062"/>
      <c r="F43" s="1062"/>
      <c r="G43" s="1062"/>
      <c r="H43" s="1043"/>
      <c r="I43" s="1044"/>
      <c r="J43" s="1022" t="s">
        <v>3828</v>
      </c>
      <c r="L43" s="1022" t="s">
        <v>3829</v>
      </c>
      <c r="O43" s="1044"/>
      <c r="P43" s="1022" t="s">
        <v>3794</v>
      </c>
      <c r="R43" s="1044"/>
      <c r="S43" s="1022" t="s">
        <v>3795</v>
      </c>
      <c r="T43" s="1022" t="s">
        <v>6</v>
      </c>
      <c r="AC43" s="1062"/>
      <c r="AD43" s="1087"/>
      <c r="AE43" s="1058"/>
      <c r="AF43" s="1062" t="s">
        <v>3743</v>
      </c>
      <c r="AH43" s="1048"/>
    </row>
    <row r="44" spans="1:34" ht="15" customHeight="1">
      <c r="A44" s="1066"/>
      <c r="B44" s="1035" t="s">
        <v>3830</v>
      </c>
      <c r="C44" s="1035"/>
      <c r="D44" s="1035"/>
      <c r="E44" s="1035"/>
      <c r="F44" s="1035"/>
      <c r="G44" s="1035"/>
      <c r="H44" s="1088"/>
      <c r="I44" s="1089"/>
      <c r="J44" s="1090" t="s">
        <v>3831</v>
      </c>
      <c r="K44" s="1090"/>
      <c r="L44" s="1091" t="s">
        <v>401</v>
      </c>
      <c r="M44" s="1089"/>
      <c r="N44" s="1090" t="s">
        <v>3832</v>
      </c>
      <c r="O44" s="1090"/>
      <c r="P44" s="1090"/>
      <c r="Q44" s="1090"/>
      <c r="R44" s="1089"/>
      <c r="S44" s="1090" t="s">
        <v>3833</v>
      </c>
      <c r="T44" s="1090"/>
      <c r="U44" s="1090" t="s">
        <v>6</v>
      </c>
      <c r="V44" s="1090"/>
      <c r="W44" s="1089"/>
      <c r="X44" s="1090" t="s">
        <v>3834</v>
      </c>
      <c r="Y44" s="1090"/>
      <c r="Z44" s="1090"/>
      <c r="AA44" s="1090"/>
      <c r="AB44" s="1090"/>
      <c r="AC44" s="1092"/>
      <c r="AD44" s="1067"/>
      <c r="AE44" s="1034"/>
      <c r="AF44" s="1093" t="s">
        <v>3835</v>
      </c>
      <c r="AG44" s="1035"/>
      <c r="AH44" s="1068"/>
    </row>
    <row r="45" spans="1:34" ht="15" customHeight="1">
      <c r="A45" s="1031"/>
      <c r="B45" s="1032" t="s">
        <v>3836</v>
      </c>
      <c r="C45" s="1032"/>
      <c r="D45" s="1032"/>
      <c r="E45" s="1032"/>
      <c r="F45" s="1032"/>
      <c r="G45" s="1032"/>
      <c r="H45" s="1031"/>
      <c r="I45" s="1055"/>
      <c r="J45" s="1032" t="s">
        <v>3741</v>
      </c>
      <c r="K45" s="1056" t="s">
        <v>401</v>
      </c>
      <c r="L45" s="1055"/>
      <c r="M45" s="1032" t="s">
        <v>3837</v>
      </c>
      <c r="N45" s="1032"/>
      <c r="O45" s="1061" t="s">
        <v>3356</v>
      </c>
      <c r="P45" s="1055"/>
      <c r="Q45" s="1032" t="s">
        <v>3798</v>
      </c>
      <c r="R45" s="1032"/>
      <c r="S45" s="1055"/>
      <c r="T45" s="1032" t="s">
        <v>3838</v>
      </c>
      <c r="U45" s="1032"/>
      <c r="V45" s="1032" t="s">
        <v>3357</v>
      </c>
      <c r="W45" s="1055"/>
      <c r="X45" s="1032" t="s">
        <v>3839</v>
      </c>
      <c r="Y45" s="1032"/>
      <c r="Z45" s="1032" t="s">
        <v>6</v>
      </c>
      <c r="AA45" s="1032"/>
      <c r="AB45" s="1032"/>
      <c r="AC45" s="1032"/>
      <c r="AD45" s="1077"/>
      <c r="AE45" s="1055"/>
      <c r="AF45" s="1032" t="s">
        <v>3743</v>
      </c>
      <c r="AG45" s="1032"/>
      <c r="AH45" s="1038"/>
    </row>
    <row r="46" spans="1:34" ht="15" customHeight="1">
      <c r="A46" s="1031"/>
      <c r="B46" s="1032" t="s">
        <v>3840</v>
      </c>
      <c r="C46" s="1032"/>
      <c r="D46" s="1032"/>
      <c r="E46" s="1032"/>
      <c r="F46" s="1032"/>
      <c r="G46" s="1032"/>
      <c r="H46" s="1031"/>
      <c r="I46" s="1055"/>
      <c r="J46" s="1032" t="s">
        <v>3741</v>
      </c>
      <c r="K46" s="1056" t="s">
        <v>401</v>
      </c>
      <c r="L46" s="1055"/>
      <c r="M46" s="1022" t="s">
        <v>3841</v>
      </c>
      <c r="N46" s="1032"/>
      <c r="O46" s="1032"/>
      <c r="P46" s="1032"/>
      <c r="Q46" s="1032"/>
      <c r="R46" s="1032"/>
      <c r="S46" s="1032"/>
      <c r="U46" s="1055"/>
      <c r="V46" s="1032" t="s">
        <v>3842</v>
      </c>
      <c r="W46" s="1032"/>
      <c r="X46" s="1032"/>
      <c r="Y46" s="1062"/>
      <c r="Z46" s="1062"/>
      <c r="AA46" s="1022" t="s">
        <v>6</v>
      </c>
      <c r="AB46" s="1022" t="s">
        <v>3843</v>
      </c>
      <c r="AC46" s="1032"/>
      <c r="AD46" s="1077"/>
      <c r="AE46" s="1055"/>
      <c r="AF46" s="1032" t="s">
        <v>3743</v>
      </c>
      <c r="AG46" s="1032"/>
      <c r="AH46" s="1038"/>
    </row>
    <row r="47" spans="1:34" ht="15" customHeight="1">
      <c r="A47" s="1031"/>
      <c r="B47" s="1032" t="s">
        <v>3844</v>
      </c>
      <c r="C47" s="1032"/>
      <c r="D47" s="1032"/>
      <c r="E47" s="1032"/>
      <c r="F47" s="1032"/>
      <c r="G47" s="1032"/>
      <c r="H47" s="1031"/>
      <c r="I47" s="1055"/>
      <c r="J47" s="1032" t="s">
        <v>3741</v>
      </c>
      <c r="K47" s="1056"/>
      <c r="L47" s="1056"/>
      <c r="M47" s="1056"/>
      <c r="N47" s="1056"/>
      <c r="O47" s="1056"/>
      <c r="P47" s="1056"/>
      <c r="Q47" s="1056"/>
      <c r="R47" s="1056"/>
      <c r="S47" s="1056"/>
      <c r="T47" s="1056"/>
      <c r="U47" s="1056"/>
      <c r="V47" s="1056"/>
      <c r="W47" s="1056"/>
      <c r="X47" s="1056"/>
      <c r="Y47" s="1032"/>
      <c r="Z47" s="1074"/>
      <c r="AA47" s="1074"/>
      <c r="AB47" s="1074" t="s">
        <v>3845</v>
      </c>
      <c r="AC47" s="1032"/>
      <c r="AD47" s="1077"/>
      <c r="AE47" s="1055"/>
      <c r="AF47" s="1032" t="s">
        <v>3743</v>
      </c>
      <c r="AG47" s="1032"/>
      <c r="AH47" s="1038"/>
    </row>
    <row r="48" spans="1:34" ht="15" customHeight="1">
      <c r="A48" s="1031"/>
      <c r="B48" s="1032" t="s">
        <v>3846</v>
      </c>
      <c r="C48" s="1032"/>
      <c r="D48" s="1032"/>
      <c r="E48" s="1032"/>
      <c r="F48" s="1032"/>
      <c r="G48" s="1032"/>
      <c r="H48" s="1031"/>
      <c r="I48" s="1055"/>
      <c r="J48" s="1032" t="s">
        <v>3741</v>
      </c>
      <c r="K48" s="1032"/>
      <c r="L48" s="1032"/>
      <c r="M48" s="1032"/>
      <c r="N48" s="1032"/>
      <c r="O48" s="1032"/>
      <c r="P48" s="1032"/>
      <c r="Q48" s="1032"/>
      <c r="R48" s="1032"/>
      <c r="S48" s="1032"/>
      <c r="T48" s="1032"/>
      <c r="U48" s="1032"/>
      <c r="V48" s="1032"/>
      <c r="W48" s="1032"/>
      <c r="X48" s="1032"/>
      <c r="Y48" s="1032"/>
      <c r="Z48" s="1032"/>
      <c r="AA48" s="1032"/>
      <c r="AB48" s="1032"/>
      <c r="AC48" s="1032"/>
      <c r="AD48" s="1077"/>
      <c r="AE48" s="1055"/>
      <c r="AF48" s="1032" t="s">
        <v>3743</v>
      </c>
      <c r="AG48" s="1032"/>
      <c r="AH48" s="1038"/>
    </row>
    <row r="49" spans="1:34" ht="15" customHeight="1">
      <c r="A49" s="1031"/>
      <c r="B49" s="1032" t="s">
        <v>3847</v>
      </c>
      <c r="C49" s="1032"/>
      <c r="D49" s="1032"/>
      <c r="E49" s="1032"/>
      <c r="F49" s="1032"/>
      <c r="G49" s="1032"/>
      <c r="H49" s="1031"/>
      <c r="I49" s="1055"/>
      <c r="J49" s="1032" t="s">
        <v>3741</v>
      </c>
      <c r="K49" s="1061" t="s">
        <v>3776</v>
      </c>
      <c r="L49" s="1607" t="s">
        <v>376</v>
      </c>
      <c r="M49" s="1607"/>
      <c r="N49" s="1607"/>
      <c r="O49" s="1607"/>
      <c r="P49" s="1022" t="s">
        <v>3751</v>
      </c>
      <c r="R49" s="1032"/>
      <c r="T49" s="1032"/>
      <c r="U49" s="1032"/>
      <c r="V49" s="1032"/>
      <c r="W49" s="1032"/>
      <c r="X49" s="1032"/>
      <c r="Y49" s="1032"/>
      <c r="Z49" s="1032"/>
      <c r="AA49" s="1032"/>
      <c r="AB49" s="1032"/>
      <c r="AC49" s="1032"/>
      <c r="AD49" s="1077"/>
      <c r="AE49" s="1055"/>
      <c r="AF49" s="1032" t="s">
        <v>3743</v>
      </c>
      <c r="AG49" s="1032"/>
      <c r="AH49" s="1038"/>
    </row>
    <row r="50" spans="1:34" ht="15" customHeight="1">
      <c r="A50" s="1031"/>
      <c r="B50" s="1074" t="s">
        <v>3848</v>
      </c>
      <c r="C50" s="1032"/>
      <c r="D50" s="1032"/>
      <c r="E50" s="1032"/>
      <c r="F50" s="1032"/>
      <c r="G50" s="1032"/>
      <c r="H50" s="1031"/>
      <c r="I50" s="1055"/>
      <c r="J50" s="1032" t="s">
        <v>3748</v>
      </c>
      <c r="K50" s="1032"/>
      <c r="L50" s="1032"/>
      <c r="M50" s="1032"/>
      <c r="N50" s="1094"/>
      <c r="O50" s="1032"/>
      <c r="P50" s="1032"/>
      <c r="Q50" s="1032"/>
      <c r="R50" s="1032"/>
      <c r="S50" s="1032"/>
      <c r="T50" s="1032"/>
      <c r="U50" s="1032"/>
      <c r="V50" s="1094"/>
      <c r="W50" s="1032"/>
      <c r="X50" s="1032"/>
      <c r="Y50" s="1032"/>
      <c r="Z50" s="1032"/>
      <c r="AA50" s="1032"/>
      <c r="AB50" s="1032"/>
      <c r="AC50" s="1032"/>
      <c r="AD50" s="1077"/>
      <c r="AE50" s="1055"/>
      <c r="AF50" s="1032" t="s">
        <v>3750</v>
      </c>
      <c r="AG50" s="1032"/>
      <c r="AH50" s="1038"/>
    </row>
    <row r="51" spans="1:34" ht="15" customHeight="1">
      <c r="A51" s="1078"/>
      <c r="B51" s="1095" t="s">
        <v>3849</v>
      </c>
      <c r="C51" s="1062"/>
      <c r="D51" s="1062"/>
      <c r="E51" s="1062"/>
      <c r="F51" s="1062"/>
      <c r="G51" s="1062"/>
      <c r="H51" s="1078"/>
      <c r="I51" s="1058"/>
      <c r="J51" s="1062" t="s">
        <v>3748</v>
      </c>
      <c r="K51" s="1056" t="s">
        <v>401</v>
      </c>
      <c r="L51" s="1055"/>
      <c r="M51" s="1032" t="s">
        <v>3850</v>
      </c>
      <c r="N51" s="1074"/>
      <c r="O51" s="1074"/>
      <c r="P51" s="1055"/>
      <c r="Q51" s="1032" t="s">
        <v>3795</v>
      </c>
      <c r="R51" s="1032" t="s">
        <v>6</v>
      </c>
      <c r="S51" s="1074"/>
      <c r="T51" s="1032"/>
      <c r="U51" s="1032"/>
      <c r="V51" s="1032"/>
      <c r="W51" s="1032"/>
      <c r="X51" s="1032"/>
      <c r="Y51" s="1032"/>
      <c r="Z51" s="1032"/>
      <c r="AA51" s="1032"/>
      <c r="AB51" s="1032"/>
      <c r="AC51" s="1096"/>
      <c r="AD51" s="1087"/>
      <c r="AE51" s="1058"/>
      <c r="AF51" s="1062" t="s">
        <v>3750</v>
      </c>
      <c r="AG51" s="1062"/>
      <c r="AH51" s="1097"/>
    </row>
    <row r="52" spans="1:34" ht="15" customHeight="1">
      <c r="A52" s="1031"/>
      <c r="B52" s="1032" t="s">
        <v>3851</v>
      </c>
      <c r="C52" s="1032"/>
      <c r="D52" s="1032"/>
      <c r="E52" s="1032"/>
      <c r="F52" s="1032"/>
      <c r="G52" s="1032"/>
      <c r="H52" s="1031"/>
      <c r="I52" s="1055"/>
      <c r="J52" s="1032" t="s">
        <v>3741</v>
      </c>
      <c r="K52" s="1036" t="s">
        <v>401</v>
      </c>
      <c r="L52" s="1034"/>
      <c r="M52" s="1035" t="s">
        <v>3798</v>
      </c>
      <c r="N52" s="1035"/>
      <c r="P52" s="1034"/>
      <c r="Q52" s="1035" t="s">
        <v>3795</v>
      </c>
      <c r="S52" s="1034"/>
      <c r="T52" s="1035" t="s">
        <v>3852</v>
      </c>
      <c r="U52" s="1093"/>
      <c r="V52" s="1035"/>
      <c r="W52" s="1035" t="s">
        <v>6</v>
      </c>
      <c r="X52" s="1035"/>
      <c r="Y52" s="1035"/>
      <c r="Z52" s="1035"/>
      <c r="AA52" s="1035"/>
      <c r="AB52" s="1035"/>
      <c r="AC52" s="1035"/>
      <c r="AD52" s="1077"/>
      <c r="AE52" s="1055"/>
      <c r="AF52" s="1032" t="s">
        <v>3743</v>
      </c>
      <c r="AG52" s="1032"/>
      <c r="AH52" s="1038"/>
    </row>
    <row r="53" spans="1:34" ht="15" customHeight="1">
      <c r="A53" s="1078"/>
      <c r="B53" s="1062" t="s">
        <v>3853</v>
      </c>
      <c r="C53" s="1062"/>
      <c r="D53" s="1062"/>
      <c r="E53" s="1062"/>
      <c r="F53" s="1062"/>
      <c r="G53" s="1062"/>
      <c r="H53" s="1078"/>
      <c r="I53" s="1058"/>
      <c r="J53" s="1062" t="s">
        <v>3748</v>
      </c>
      <c r="K53" s="1079" t="s">
        <v>401</v>
      </c>
      <c r="L53" s="1058"/>
      <c r="M53" s="1062" t="s">
        <v>3854</v>
      </c>
      <c r="N53" s="1062"/>
      <c r="O53" s="1062"/>
      <c r="P53" s="1058"/>
      <c r="Q53" s="1062" t="s">
        <v>450</v>
      </c>
      <c r="R53" s="1062"/>
      <c r="S53" s="1058"/>
      <c r="T53" s="1062" t="s">
        <v>452</v>
      </c>
      <c r="U53" s="1062"/>
      <c r="V53" s="1062"/>
      <c r="W53" s="1058"/>
      <c r="X53" s="1062" t="s">
        <v>3855</v>
      </c>
      <c r="Y53" s="1095"/>
      <c r="Z53" s="1095"/>
      <c r="AA53" s="1062" t="s">
        <v>6</v>
      </c>
      <c r="AB53" s="1062"/>
      <c r="AC53" s="1062"/>
      <c r="AD53" s="1087"/>
      <c r="AE53" s="1058"/>
      <c r="AF53" s="1062" t="s">
        <v>3750</v>
      </c>
      <c r="AG53" s="1062"/>
      <c r="AH53" s="1097"/>
    </row>
    <row r="54" spans="1:34" ht="15" customHeight="1">
      <c r="A54" s="1078"/>
      <c r="B54" s="1062" t="s">
        <v>3856</v>
      </c>
      <c r="C54" s="1062"/>
      <c r="D54" s="1062"/>
      <c r="E54" s="1062"/>
      <c r="F54" s="1062"/>
      <c r="G54" s="1062"/>
      <c r="H54" s="1062"/>
      <c r="I54" s="1098" t="s">
        <v>3857</v>
      </c>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1062"/>
      <c r="AH54" s="1097"/>
    </row>
    <row r="55" spans="1:34" ht="15" customHeight="1">
      <c r="A55" s="1043"/>
      <c r="E55" s="1099"/>
      <c r="F55" s="1022" t="s">
        <v>3858</v>
      </c>
      <c r="G55" s="1023"/>
      <c r="K55" s="1099"/>
      <c r="L55" s="1022" t="s">
        <v>3859</v>
      </c>
      <c r="M55" s="1023"/>
      <c r="N55" s="1023"/>
      <c r="O55" s="1023"/>
      <c r="P55" s="1023"/>
      <c r="Q55" s="1023"/>
      <c r="T55" s="1061"/>
      <c r="AH55" s="1048"/>
    </row>
    <row r="56" spans="1:34" ht="15" customHeight="1">
      <c r="A56" s="1043"/>
      <c r="B56" s="1100"/>
      <c r="E56" s="1099"/>
      <c r="F56" s="1022" t="s">
        <v>3860</v>
      </c>
      <c r="G56" s="1023"/>
      <c r="K56" s="1099"/>
      <c r="L56" s="1022" t="s">
        <v>3861</v>
      </c>
      <c r="P56" s="1099"/>
      <c r="Q56" s="1022" t="s">
        <v>3862</v>
      </c>
      <c r="U56" s="1099"/>
      <c r="V56" s="1022" t="s">
        <v>3863</v>
      </c>
      <c r="Z56" s="1099"/>
      <c r="AA56" s="1022" t="s">
        <v>3864</v>
      </c>
      <c r="AH56" s="1048"/>
    </row>
    <row r="57" spans="1:34" ht="15" customHeight="1">
      <c r="A57" s="1043"/>
      <c r="E57" s="1099"/>
      <c r="F57" s="1022" t="s">
        <v>3865</v>
      </c>
      <c r="G57" s="1023"/>
      <c r="K57" s="1099"/>
      <c r="L57" s="1022" t="s">
        <v>3866</v>
      </c>
      <c r="P57" s="1099"/>
      <c r="Q57" s="1022" t="s">
        <v>3867</v>
      </c>
      <c r="U57" s="1099"/>
      <c r="V57" s="1022" t="s">
        <v>3868</v>
      </c>
      <c r="Z57" s="1099"/>
      <c r="AA57" s="1022" t="s">
        <v>3869</v>
      </c>
      <c r="AH57" s="1048"/>
    </row>
    <row r="58" spans="1:34" ht="15" customHeight="1">
      <c r="A58" s="1066"/>
      <c r="B58" s="1035"/>
      <c r="C58" s="1035"/>
      <c r="D58" s="1035"/>
      <c r="E58" s="1034"/>
      <c r="F58" s="1035" t="s">
        <v>3870</v>
      </c>
      <c r="G58" s="1035"/>
      <c r="H58" s="1035"/>
      <c r="I58" s="1035"/>
      <c r="J58" s="1035"/>
      <c r="K58" s="1035" t="s">
        <v>3871</v>
      </c>
      <c r="L58" s="1035"/>
      <c r="M58" s="1035"/>
      <c r="N58" s="1035"/>
      <c r="O58" s="1035"/>
      <c r="P58" s="1035"/>
      <c r="Q58" s="1595" t="s">
        <v>3872</v>
      </c>
      <c r="R58" s="1595"/>
      <c r="S58" s="1595"/>
      <c r="T58" s="1595"/>
      <c r="U58" s="1035" t="s">
        <v>3873</v>
      </c>
      <c r="V58" s="1595" t="s">
        <v>3872</v>
      </c>
      <c r="W58" s="1595"/>
      <c r="X58" s="1595"/>
      <c r="Y58" s="1595"/>
      <c r="Z58" s="1035" t="s">
        <v>6</v>
      </c>
      <c r="AA58" s="1093"/>
      <c r="AB58" s="1093"/>
      <c r="AC58" s="1093"/>
      <c r="AD58" s="1093"/>
      <c r="AE58" s="1093"/>
      <c r="AF58" s="1093"/>
      <c r="AG58" s="1035"/>
      <c r="AH58" s="1068"/>
    </row>
    <row r="59" spans="1:34" ht="15" customHeight="1">
      <c r="B59" s="1022" t="s">
        <v>3874</v>
      </c>
    </row>
    <row r="60" spans="1:34" ht="15" customHeight="1">
      <c r="A60" s="1031"/>
      <c r="B60" s="1032"/>
      <c r="C60" s="1032"/>
      <c r="D60" s="1032"/>
      <c r="E60" s="1585" t="s">
        <v>3875</v>
      </c>
      <c r="F60" s="1586"/>
      <c r="G60" s="1587"/>
      <c r="H60" s="1585" t="s">
        <v>3876</v>
      </c>
      <c r="I60" s="1586"/>
      <c r="J60" s="1586"/>
      <c r="K60" s="1586"/>
      <c r="L60" s="1586"/>
      <c r="M60" s="1586"/>
      <c r="N60" s="1585" t="s">
        <v>3877</v>
      </c>
      <c r="O60" s="1586"/>
      <c r="P60" s="1586"/>
      <c r="Q60" s="1586"/>
      <c r="R60" s="1586"/>
      <c r="S60" s="1586"/>
      <c r="T60" s="1586"/>
      <c r="U60" s="1586"/>
      <c r="V60" s="1586"/>
      <c r="W60" s="1587"/>
      <c r="X60" s="1586" t="s">
        <v>3878</v>
      </c>
      <c r="Y60" s="1586"/>
      <c r="Z60" s="1586"/>
      <c r="AA60" s="1586"/>
      <c r="AB60" s="1586"/>
      <c r="AC60" s="1586"/>
      <c r="AD60" s="1586"/>
      <c r="AE60" s="1586"/>
      <c r="AF60" s="1586"/>
      <c r="AG60" s="1586"/>
      <c r="AH60" s="1587"/>
    </row>
    <row r="61" spans="1:34" ht="15" customHeight="1">
      <c r="A61" s="1078"/>
      <c r="B61" s="1098" t="s">
        <v>3810</v>
      </c>
      <c r="C61" s="1062"/>
      <c r="D61" s="1062"/>
      <c r="E61" s="1588" t="s">
        <v>3872</v>
      </c>
      <c r="F61" s="1589"/>
      <c r="G61" s="1590"/>
      <c r="H61" s="1591"/>
      <c r="I61" s="1592"/>
      <c r="J61" s="1592"/>
      <c r="K61" s="1592"/>
      <c r="L61" s="1592"/>
      <c r="M61" s="1592"/>
      <c r="N61" s="1591"/>
      <c r="O61" s="1592"/>
      <c r="P61" s="1592"/>
      <c r="Q61" s="1592"/>
      <c r="R61" s="1592"/>
      <c r="S61" s="1592"/>
      <c r="T61" s="1592"/>
      <c r="U61" s="1592"/>
      <c r="V61" s="1592"/>
      <c r="W61" s="1593"/>
      <c r="X61" s="1592"/>
      <c r="Y61" s="1592"/>
      <c r="Z61" s="1592"/>
      <c r="AA61" s="1592"/>
      <c r="AB61" s="1592"/>
      <c r="AC61" s="1592"/>
      <c r="AD61" s="1592"/>
      <c r="AE61" s="1592"/>
      <c r="AF61" s="1592"/>
      <c r="AG61" s="1592"/>
      <c r="AH61" s="1594"/>
    </row>
    <row r="62" spans="1:34" ht="15" customHeight="1">
      <c r="A62" s="1043"/>
      <c r="B62" s="1101" t="s">
        <v>3879</v>
      </c>
      <c r="E62" s="1571" t="s">
        <v>3872</v>
      </c>
      <c r="F62" s="1572"/>
      <c r="G62" s="1573"/>
      <c r="H62" s="1574"/>
      <c r="I62" s="1575"/>
      <c r="J62" s="1575"/>
      <c r="K62" s="1575"/>
      <c r="L62" s="1575"/>
      <c r="M62" s="1575"/>
      <c r="N62" s="1574"/>
      <c r="O62" s="1575"/>
      <c r="P62" s="1575"/>
      <c r="Q62" s="1575"/>
      <c r="R62" s="1575"/>
      <c r="S62" s="1575"/>
      <c r="T62" s="1575"/>
      <c r="U62" s="1575"/>
      <c r="V62" s="1575"/>
      <c r="W62" s="1576"/>
      <c r="X62" s="1575"/>
      <c r="Y62" s="1575"/>
      <c r="Z62" s="1575"/>
      <c r="AA62" s="1575"/>
      <c r="AB62" s="1575"/>
      <c r="AC62" s="1575"/>
      <c r="AD62" s="1575"/>
      <c r="AE62" s="1575"/>
      <c r="AF62" s="1575"/>
      <c r="AG62" s="1575"/>
      <c r="AH62" s="1577"/>
    </row>
    <row r="63" spans="1:34" ht="15" customHeight="1">
      <c r="A63" s="1066"/>
      <c r="B63" s="1102" t="s">
        <v>5</v>
      </c>
      <c r="C63" s="1035"/>
      <c r="D63" s="1035"/>
      <c r="E63" s="1578" t="s">
        <v>3872</v>
      </c>
      <c r="F63" s="1579"/>
      <c r="G63" s="1580"/>
      <c r="H63" s="1581"/>
      <c r="I63" s="1582"/>
      <c r="J63" s="1582"/>
      <c r="K63" s="1582"/>
      <c r="L63" s="1582"/>
      <c r="M63" s="1582"/>
      <c r="N63" s="1581"/>
      <c r="O63" s="1582"/>
      <c r="P63" s="1582"/>
      <c r="Q63" s="1582"/>
      <c r="R63" s="1582"/>
      <c r="S63" s="1582"/>
      <c r="T63" s="1582"/>
      <c r="U63" s="1582"/>
      <c r="V63" s="1582"/>
      <c r="W63" s="1583"/>
      <c r="X63" s="1582"/>
      <c r="Y63" s="1582"/>
      <c r="Z63" s="1582"/>
      <c r="AA63" s="1582"/>
      <c r="AB63" s="1582"/>
      <c r="AC63" s="1582"/>
      <c r="AD63" s="1582"/>
      <c r="AE63" s="1582"/>
      <c r="AF63" s="1582"/>
      <c r="AG63" s="1582"/>
      <c r="AH63" s="1584"/>
    </row>
    <row r="64" spans="1:34" ht="15" customHeight="1">
      <c r="B64" s="1570" t="s">
        <v>2885</v>
      </c>
      <c r="C64" s="1570"/>
      <c r="D64" s="1570"/>
      <c r="E64" s="1570"/>
      <c r="F64" s="1570"/>
      <c r="G64" s="1570"/>
      <c r="H64" s="1570"/>
      <c r="I64" s="1570"/>
      <c r="J64" s="1570"/>
      <c r="K64" s="1570"/>
      <c r="L64" s="1570"/>
      <c r="M64" s="1570"/>
      <c r="N64" s="1570"/>
      <c r="O64" s="1570"/>
      <c r="P64" s="1570"/>
      <c r="Q64" s="1570"/>
      <c r="R64" s="1570"/>
      <c r="S64" s="1570"/>
      <c r="T64" s="1570"/>
      <c r="U64" s="1570"/>
      <c r="V64" s="1570"/>
      <c r="W64" s="1570"/>
      <c r="X64" s="1570"/>
      <c r="Y64" s="1570"/>
      <c r="Z64" s="1570"/>
      <c r="AA64" s="1570"/>
      <c r="AB64" s="1570"/>
      <c r="AC64" s="1570"/>
      <c r="AD64" s="1570"/>
      <c r="AE64" s="1570"/>
      <c r="AF64" s="1570"/>
      <c r="AG64" s="1570"/>
    </row>
  </sheetData>
  <mergeCells count="53">
    <mergeCell ref="AJ11:AN11"/>
    <mergeCell ref="P19:Y19"/>
    <mergeCell ref="X1:AG1"/>
    <mergeCell ref="B2:AG2"/>
    <mergeCell ref="AC4:AD4"/>
    <mergeCell ref="I9:AG9"/>
    <mergeCell ref="V11:W11"/>
    <mergeCell ref="AJ12:AN12"/>
    <mergeCell ref="J13:L13"/>
    <mergeCell ref="J14:L14"/>
    <mergeCell ref="AJ16:AN16"/>
    <mergeCell ref="P18:R18"/>
    <mergeCell ref="X22:AB22"/>
    <mergeCell ref="L23:AB23"/>
    <mergeCell ref="N24:S24"/>
    <mergeCell ref="S28:AB28"/>
    <mergeCell ref="M33:P33"/>
    <mergeCell ref="Q33:T33"/>
    <mergeCell ref="U33:X33"/>
    <mergeCell ref="Y33:AB33"/>
    <mergeCell ref="Q58:T58"/>
    <mergeCell ref="V58:Y58"/>
    <mergeCell ref="M34:O34"/>
    <mergeCell ref="Q34:S34"/>
    <mergeCell ref="U34:W34"/>
    <mergeCell ref="Y34:AA34"/>
    <mergeCell ref="M36:P36"/>
    <mergeCell ref="M37:O37"/>
    <mergeCell ref="Q37:V37"/>
    <mergeCell ref="W37:X37"/>
    <mergeCell ref="Z37:AA37"/>
    <mergeCell ref="M39:O39"/>
    <mergeCell ref="Q39:S39"/>
    <mergeCell ref="U39:W39"/>
    <mergeCell ref="Y39:AA39"/>
    <mergeCell ref="L49:O49"/>
    <mergeCell ref="E60:G60"/>
    <mergeCell ref="H60:M60"/>
    <mergeCell ref="N60:W60"/>
    <mergeCell ref="X60:AH60"/>
    <mergeCell ref="E61:G61"/>
    <mergeCell ref="H61:M61"/>
    <mergeCell ref="N61:W61"/>
    <mergeCell ref="X61:AH61"/>
    <mergeCell ref="B64:AG64"/>
    <mergeCell ref="E62:G62"/>
    <mergeCell ref="H62:M62"/>
    <mergeCell ref="N62:W62"/>
    <mergeCell ref="X62:AH62"/>
    <mergeCell ref="E63:G63"/>
    <mergeCell ref="H63:M63"/>
    <mergeCell ref="N63:W63"/>
    <mergeCell ref="X63:AH63"/>
  </mergeCells>
  <phoneticPr fontId="139"/>
  <dataValidations count="9">
    <dataValidation type="list" allowBlank="1" showInputMessage="1" showErrorMessage="1" sqref="M33:AB33" xr:uid="{00000000-0002-0000-1200-000000000000}">
      <formula1>"　,1号,2号,3号"</formula1>
    </dataValidation>
    <dataValidation type="list" allowBlank="1" showInputMessage="1" showErrorMessage="1" sqref="M36:P36" xr:uid="{00000000-0002-0000-1200-000001000000}">
      <formula1>"　,4号,5号"</formula1>
    </dataValidation>
    <dataValidation type="list" allowBlank="1" showInputMessage="1" showErrorMessage="1" sqref="P19:Y19" xr:uid="{00000000-0002-0000-1200-00000200000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V11:W11" xr:uid="{00000000-0002-0000-1200-000003000000}">
      <formula1>"　,1.0"</formula1>
    </dataValidation>
    <dataValidation type="list" allowBlank="1" showInputMessage="1" showErrorMessage="1" sqref="P18" xr:uid="{00000000-0002-0000-1200-000004000000}">
      <formula1>"　,第一種,第三種,第四種"</formula1>
    </dataValidation>
    <dataValidation type="list" allowBlank="1" showInputMessage="1" showErrorMessage="1" sqref="N50 V50" xr:uid="{00000000-0002-0000-1200-000005000000}">
      <formula1>"■,□"</formula1>
    </dataValidation>
    <dataValidation type="list" allowBlank="1" showInputMessage="1" showErrorMessage="1" sqref="L49" xr:uid="{00000000-0002-0000-1200-000006000000}">
      <formula1>"　,第1種,第2種,第2種区域-A,第2種区域-B,第2種区域-C,第3種"</formula1>
    </dataValidation>
    <dataValidation allowBlank="1" showInputMessage="1" showErrorMessage="1" sqref="M11:M16 M34:O34 M37 M39:O39 O11:O16 Q34:S34 Q39:S39 U13:U16 U34:W34 U39:W39 W13:W16 Y34:AA34 Y39:AA39 AC13:AC16 AF13:AF16" xr:uid="{00000000-0002-0000-1200-000007000000}"/>
    <dataValidation type="list" allowBlank="1" showInputMessage="1" showErrorMessage="1" sqref="X22:AB22" xr:uid="{00000000-0002-0000-1200-000008000000}">
      <formula1>"　,鵜住居地区,釜石東部地区,平田地区,陸前高田地区,町方・安渡地区,沢山地区,赤浜地区,吉里吉里地区"</formula1>
    </dataValidation>
  </dataValidations>
  <pageMargins left="0.55118110236220474" right="3.937007874015748E-2"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145410" r:id="rId5" name="Check_x0020_Box_x0020_2">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145411" r:id="rId6" name="Check_x0020_Box_x0020_3">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145412" r:id="rId7" name="Check_x0020_Box_x0020_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145413" r:id="rId8"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145414" r:id="rId9"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145415" r:id="rId10"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6" r:id="rId11"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7" r:id="rId12"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145418" r:id="rId13"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145419" r:id="rId14" name="Check_x0020_Box_x0020_11">
              <controlPr defaultSize="0" autoFill="0" autoLine="0" autoPict="0" altText="">
                <anchor moveWithCells="1">
                  <from>
                    <xdr:col>30</xdr:col>
                    <xdr:colOff>0</xdr:colOff>
                    <xdr:row>43</xdr:row>
                    <xdr:rowOff>180975</xdr:rowOff>
                  </from>
                  <to>
                    <xdr:col>31</xdr:col>
                    <xdr:colOff>66675</xdr:colOff>
                    <xdr:row>45</xdr:row>
                    <xdr:rowOff>9525</xdr:rowOff>
                  </to>
                </anchor>
              </controlPr>
            </control>
          </mc:Choice>
        </mc:AlternateContent>
        <mc:AlternateContent xmlns:mc="http://schemas.openxmlformats.org/markup-compatibility/2006">
          <mc:Choice Requires="x14">
            <control shapeId="145420" r:id="rId15" name="Check_x0020_Box_x0020_12">
              <controlPr defaultSize="0" autoFill="0" autoLine="0" autoPict="0" altText="">
                <anchor moveWithCells="1">
                  <from>
                    <xdr:col>30</xdr:col>
                    <xdr:colOff>0</xdr:colOff>
                    <xdr:row>44</xdr:row>
                    <xdr:rowOff>180975</xdr:rowOff>
                  </from>
                  <to>
                    <xdr:col>31</xdr:col>
                    <xdr:colOff>66675</xdr:colOff>
                    <xdr:row>46</xdr:row>
                    <xdr:rowOff>9525</xdr:rowOff>
                  </to>
                </anchor>
              </controlPr>
            </control>
          </mc:Choice>
        </mc:AlternateContent>
        <mc:AlternateContent xmlns:mc="http://schemas.openxmlformats.org/markup-compatibility/2006">
          <mc:Choice Requires="x14">
            <control shapeId="145421" r:id="rId16"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145422" r:id="rId17"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145423" r:id="rId18"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145424" r:id="rId19"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145425" r:id="rId20"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145426" r:id="rId21"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145427" r:id="rId22"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145428" r:id="rId23"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145429" r:id="rId24"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145430" r:id="rId25"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145431" r:id="rId26"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145432" r:id="rId27"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145433" r:id="rId28"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145434" r:id="rId29"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145435" r:id="rId30"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145436" r:id="rId31"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145437" r:id="rId32"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145438" r:id="rId33"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145439" r:id="rId34"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145440" r:id="rId35"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145441" r:id="rId36"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145442" r:id="rId37"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145443" r:id="rId38"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145444" r:id="rId39"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145445" r:id="rId40"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145446" r:id="rId41"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145447" r:id="rId42"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145448" r:id="rId43"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145449" r:id="rId44"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145450" r:id="rId45"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145451" r:id="rId46"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145452" r:id="rId47"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145453" r:id="rId48"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145454" r:id="rId49"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145455" r:id="rId50"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145456" r:id="rId51"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145457" r:id="rId52"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145458" r:id="rId53"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145459" r:id="rId54"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145460" r:id="rId55"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145461" r:id="rId56"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145462" r:id="rId57"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145463" r:id="rId58"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145464" r:id="rId59"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145465" r:id="rId60"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145466" r:id="rId61"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145467" r:id="rId62" name="Check_x0020_Box_x0020_62">
              <controlPr defaultSize="0" autoFill="0" autoLine="0" autoPict="0" altText="">
                <anchor moveWithCells="1">
                  <from>
                    <xdr:col>10</xdr:col>
                    <xdr:colOff>209550</xdr:colOff>
                    <xdr:row>23</xdr:row>
                    <xdr:rowOff>180975</xdr:rowOff>
                  </from>
                  <to>
                    <xdr:col>12</xdr:col>
                    <xdr:colOff>38100</xdr:colOff>
                    <xdr:row>25</xdr:row>
                    <xdr:rowOff>9525</xdr:rowOff>
                  </to>
                </anchor>
              </controlPr>
            </control>
          </mc:Choice>
        </mc:AlternateContent>
        <mc:AlternateContent xmlns:mc="http://schemas.openxmlformats.org/markup-compatibility/2006">
          <mc:Choice Requires="x14">
            <control shapeId="145468" r:id="rId63" name="Check_x0020_Box_x0020_63">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145469" r:id="rId64" name="Check_x0020_Box_x0020_64">
              <controlPr defaultSize="0" autoFill="0" autoLine="0" autoPict="0" altText="">
                <anchor moveWithCells="1">
                  <from>
                    <xdr:col>14</xdr:col>
                    <xdr:colOff>209550</xdr:colOff>
                    <xdr:row>43</xdr:row>
                    <xdr:rowOff>180975</xdr:rowOff>
                  </from>
                  <to>
                    <xdr:col>16</xdr:col>
                    <xdr:colOff>38100</xdr:colOff>
                    <xdr:row>45</xdr:row>
                    <xdr:rowOff>9525</xdr:rowOff>
                  </to>
                </anchor>
              </controlPr>
            </control>
          </mc:Choice>
        </mc:AlternateContent>
        <mc:AlternateContent xmlns:mc="http://schemas.openxmlformats.org/markup-compatibility/2006">
          <mc:Choice Requires="x14">
            <control shapeId="145470" r:id="rId65" name="Check_x0020_Box_x0020_65">
              <controlPr defaultSize="0" autoFill="0" autoLine="0" autoPict="0" altText="">
                <anchor moveWithCells="1">
                  <from>
                    <xdr:col>17</xdr:col>
                    <xdr:colOff>209550</xdr:colOff>
                    <xdr:row>43</xdr:row>
                    <xdr:rowOff>180975</xdr:rowOff>
                  </from>
                  <to>
                    <xdr:col>19</xdr:col>
                    <xdr:colOff>38100</xdr:colOff>
                    <xdr:row>45</xdr:row>
                    <xdr:rowOff>9525</xdr:rowOff>
                  </to>
                </anchor>
              </controlPr>
            </control>
          </mc:Choice>
        </mc:AlternateContent>
        <mc:AlternateContent xmlns:mc="http://schemas.openxmlformats.org/markup-compatibility/2006">
          <mc:Choice Requires="x14">
            <control shapeId="145471" r:id="rId66" name="Check_x0020_Box_x0020_66">
              <controlPr defaultSize="0" autoFill="0" autoLine="0" autoPict="0" altText="">
                <anchor moveWithCells="1">
                  <from>
                    <xdr:col>21</xdr:col>
                    <xdr:colOff>209550</xdr:colOff>
                    <xdr:row>43</xdr:row>
                    <xdr:rowOff>180975</xdr:rowOff>
                  </from>
                  <to>
                    <xdr:col>23</xdr:col>
                    <xdr:colOff>38100</xdr:colOff>
                    <xdr:row>45</xdr:row>
                    <xdr:rowOff>9525</xdr:rowOff>
                  </to>
                </anchor>
              </controlPr>
            </control>
          </mc:Choice>
        </mc:AlternateContent>
        <mc:AlternateContent xmlns:mc="http://schemas.openxmlformats.org/markup-compatibility/2006">
          <mc:Choice Requires="x14">
            <control shapeId="145472" r:id="rId67" name="Check_x0020_Box_x0020_67">
              <controlPr defaultSize="0" autoFill="0" autoLine="0" autoPict="0" altText="">
                <anchor moveWithCells="1">
                  <from>
                    <xdr:col>10</xdr:col>
                    <xdr:colOff>209550</xdr:colOff>
                    <xdr:row>43</xdr:row>
                    <xdr:rowOff>180975</xdr:rowOff>
                  </from>
                  <to>
                    <xdr:col>12</xdr:col>
                    <xdr:colOff>38100</xdr:colOff>
                    <xdr:row>45</xdr:row>
                    <xdr:rowOff>9525</xdr:rowOff>
                  </to>
                </anchor>
              </controlPr>
            </control>
          </mc:Choice>
        </mc:AlternateContent>
        <mc:AlternateContent xmlns:mc="http://schemas.openxmlformats.org/markup-compatibility/2006">
          <mc:Choice Requires="x14">
            <control shapeId="145473" r:id="rId68" name="Check_x0020_Box_x0020_68">
              <controlPr defaultSize="0" autoFill="0" autoLine="0" autoPict="0" altText="">
                <anchor moveWithCells="1">
                  <from>
                    <xdr:col>10</xdr:col>
                    <xdr:colOff>209550</xdr:colOff>
                    <xdr:row>44</xdr:row>
                    <xdr:rowOff>180975</xdr:rowOff>
                  </from>
                  <to>
                    <xdr:col>12</xdr:col>
                    <xdr:colOff>38100</xdr:colOff>
                    <xdr:row>46</xdr:row>
                    <xdr:rowOff>9525</xdr:rowOff>
                  </to>
                </anchor>
              </controlPr>
            </control>
          </mc:Choice>
        </mc:AlternateContent>
        <mc:AlternateContent xmlns:mc="http://schemas.openxmlformats.org/markup-compatibility/2006">
          <mc:Choice Requires="x14">
            <control shapeId="145474" r:id="rId69" name="Check_x0020_Box_x0020_69">
              <controlPr defaultSize="0" autoFill="0" autoLine="0" autoPict="0" altText="">
                <anchor moveWithCells="1">
                  <from>
                    <xdr:col>19</xdr:col>
                    <xdr:colOff>209550</xdr:colOff>
                    <xdr:row>44</xdr:row>
                    <xdr:rowOff>180975</xdr:rowOff>
                  </from>
                  <to>
                    <xdr:col>21</xdr:col>
                    <xdr:colOff>38100</xdr:colOff>
                    <xdr:row>46</xdr:row>
                    <xdr:rowOff>9525</xdr:rowOff>
                  </to>
                </anchor>
              </controlPr>
            </control>
          </mc:Choice>
        </mc:AlternateContent>
        <mc:AlternateContent xmlns:mc="http://schemas.openxmlformats.org/markup-compatibility/2006">
          <mc:Choice Requires="x14">
            <control shapeId="145475" r:id="rId70" name="Check_x0020_Box_x0020_70">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145476" r:id="rId71" name="Check_x0020_Box_x0020_71">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145477" r:id="rId72" name="Check_x0020_Box_x0020_72">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145478" r:id="rId7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145479" r:id="rId7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480" r:id="rId7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481" r:id="rId7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145482" r:id="rId7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145483" r:id="rId7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145484" r:id="rId7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145485" r:id="rId8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145486" r:id="rId8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145487" r:id="rId8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145488" r:id="rId8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145489" r:id="rId8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145490" r:id="rId8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145491" r:id="rId8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145492" r:id="rId8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145493" r:id="rId8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145494" r:id="rId8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145495" r:id="rId9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145496" r:id="rId91" name="Check_x0020_Box_x0020_92">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145497" r:id="rId92" name="Check_x0020_Box_x0020_93">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145498" r:id="rId9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145499" r:id="rId9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500" r:id="rId9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501" r:id="rId96" name="Check_x0020_Box_x0020_97">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2" r:id="rId97" name="Check_x0020_Box_x0020_98">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3" r:id="rId98" name="Check_x0020_Box_x0020_99">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4" r:id="rId99" name="Check_x0020_Box_x0020_100">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5" r:id="rId10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145506" r:id="rId10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145507" r:id="rId10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145508" r:id="rId10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145509" r:id="rId10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145510" r:id="rId10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145511" r:id="rId10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145512" r:id="rId10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145513" r:id="rId108" name="Check Box 105">
              <controlPr defaultSize="0" autoFill="0" autoLine="0" autoPict="0" altText="">
                <anchor moveWithCells="1">
                  <from>
                    <xdr:col>8</xdr:col>
                    <xdr:colOff>0</xdr:colOff>
                    <xdr:row>51</xdr:row>
                    <xdr:rowOff>0</xdr:rowOff>
                  </from>
                  <to>
                    <xdr:col>9</xdr:col>
                    <xdr:colOff>66675</xdr:colOff>
                    <xdr:row>52</xdr:row>
                    <xdr:rowOff>19050</xdr:rowOff>
                  </to>
                </anchor>
              </controlPr>
            </control>
          </mc:Choice>
        </mc:AlternateContent>
        <mc:AlternateContent xmlns:mc="http://schemas.openxmlformats.org/markup-compatibility/2006">
          <mc:Choice Requires="x14">
            <control shapeId="145514" r:id="rId109" name="Check Box 106">
              <controlPr defaultSize="0" autoFill="0" autoLine="0" autoPict="0" altText="">
                <anchor moveWithCells="1">
                  <from>
                    <xdr:col>30</xdr:col>
                    <xdr:colOff>0</xdr:colOff>
                    <xdr:row>51</xdr:row>
                    <xdr:rowOff>0</xdr:rowOff>
                  </from>
                  <to>
                    <xdr:col>31</xdr:col>
                    <xdr:colOff>66675</xdr:colOff>
                    <xdr:row>52</xdr:row>
                    <xdr:rowOff>19050</xdr:rowOff>
                  </to>
                </anchor>
              </controlPr>
            </control>
          </mc:Choice>
        </mc:AlternateContent>
        <mc:AlternateContent xmlns:mc="http://schemas.openxmlformats.org/markup-compatibility/2006">
          <mc:Choice Requires="x14">
            <control shapeId="145515" r:id="rId110" name="Check Box 107">
              <controlPr defaultSize="0" autoFill="0" autoLine="0" autoPict="0" altText="">
                <anchor moveWithCells="1">
                  <from>
                    <xdr:col>10</xdr:col>
                    <xdr:colOff>209550</xdr:colOff>
                    <xdr:row>51</xdr:row>
                    <xdr:rowOff>0</xdr:rowOff>
                  </from>
                  <to>
                    <xdr:col>12</xdr:col>
                    <xdr:colOff>38100</xdr:colOff>
                    <xdr:row>52</xdr:row>
                    <xdr:rowOff>19050</xdr:rowOff>
                  </to>
                </anchor>
              </controlPr>
            </control>
          </mc:Choice>
        </mc:AlternateContent>
        <mc:AlternateContent xmlns:mc="http://schemas.openxmlformats.org/markup-compatibility/2006">
          <mc:Choice Requires="x14">
            <control shapeId="145516" r:id="rId111" name="Check Box 108">
              <controlPr defaultSize="0" autoFill="0" autoLine="0" autoPict="0" altText="">
                <anchor moveWithCells="1">
                  <from>
                    <xdr:col>8</xdr:col>
                    <xdr:colOff>0</xdr:colOff>
                    <xdr:row>51</xdr:row>
                    <xdr:rowOff>180975</xdr:rowOff>
                  </from>
                  <to>
                    <xdr:col>9</xdr:col>
                    <xdr:colOff>66675</xdr:colOff>
                    <xdr:row>53</xdr:row>
                    <xdr:rowOff>9525</xdr:rowOff>
                  </to>
                </anchor>
              </controlPr>
            </control>
          </mc:Choice>
        </mc:AlternateContent>
        <mc:AlternateContent xmlns:mc="http://schemas.openxmlformats.org/markup-compatibility/2006">
          <mc:Choice Requires="x14">
            <control shapeId="145517" r:id="rId112" name="Check Box 109">
              <controlPr defaultSize="0" autoFill="0" autoLine="0" autoPict="0" altText="">
                <anchor moveWithCells="1">
                  <from>
                    <xdr:col>30</xdr:col>
                    <xdr:colOff>0</xdr:colOff>
                    <xdr:row>51</xdr:row>
                    <xdr:rowOff>180975</xdr:rowOff>
                  </from>
                  <to>
                    <xdr:col>31</xdr:col>
                    <xdr:colOff>66675</xdr:colOff>
                    <xdr:row>53</xdr:row>
                    <xdr:rowOff>9525</xdr:rowOff>
                  </to>
                </anchor>
              </controlPr>
            </control>
          </mc:Choice>
        </mc:AlternateContent>
        <mc:AlternateContent xmlns:mc="http://schemas.openxmlformats.org/markup-compatibility/2006">
          <mc:Choice Requires="x14">
            <control shapeId="145518" r:id="rId113" name="Check Box 110">
              <controlPr defaultSize="0" autoFill="0" autoLine="0" autoPict="0" altText="">
                <anchor moveWithCells="1">
                  <from>
                    <xdr:col>10</xdr:col>
                    <xdr:colOff>209550</xdr:colOff>
                    <xdr:row>51</xdr:row>
                    <xdr:rowOff>180975</xdr:rowOff>
                  </from>
                  <to>
                    <xdr:col>12</xdr:col>
                    <xdr:colOff>38100</xdr:colOff>
                    <xdr:row>53</xdr:row>
                    <xdr:rowOff>9525</xdr:rowOff>
                  </to>
                </anchor>
              </controlPr>
            </control>
          </mc:Choice>
        </mc:AlternateContent>
        <mc:AlternateContent xmlns:mc="http://schemas.openxmlformats.org/markup-compatibility/2006">
          <mc:Choice Requires="x14">
            <control shapeId="145519" r:id="rId114" name="Check Box 111">
              <controlPr defaultSize="0" autoFill="0" autoLine="0" autoPict="0" altText="">
                <anchor moveWithCells="1">
                  <from>
                    <xdr:col>3</xdr:col>
                    <xdr:colOff>219075</xdr:colOff>
                    <xdr:row>56</xdr:row>
                    <xdr:rowOff>180975</xdr:rowOff>
                  </from>
                  <to>
                    <xdr:col>5</xdr:col>
                    <xdr:colOff>47625</xdr:colOff>
                    <xdr:row>58</xdr:row>
                    <xdr:rowOff>9525</xdr:rowOff>
                  </to>
                </anchor>
              </controlPr>
            </control>
          </mc:Choice>
        </mc:AlternateContent>
        <mc:AlternateContent xmlns:mc="http://schemas.openxmlformats.org/markup-compatibility/2006">
          <mc:Choice Requires="x14">
            <control shapeId="145520" r:id="rId115" name="Check Box 112">
              <controlPr defaultSize="0" autoFill="0" autoLine="0" autoPict="0" altText="">
                <anchor moveWithCells="1">
                  <from>
                    <xdr:col>14</xdr:col>
                    <xdr:colOff>209550</xdr:colOff>
                    <xdr:row>51</xdr:row>
                    <xdr:rowOff>180975</xdr:rowOff>
                  </from>
                  <to>
                    <xdr:col>16</xdr:col>
                    <xdr:colOff>38100</xdr:colOff>
                    <xdr:row>53</xdr:row>
                    <xdr:rowOff>9525</xdr:rowOff>
                  </to>
                </anchor>
              </controlPr>
            </control>
          </mc:Choice>
        </mc:AlternateContent>
        <mc:AlternateContent xmlns:mc="http://schemas.openxmlformats.org/markup-compatibility/2006">
          <mc:Choice Requires="x14">
            <control shapeId="145521" r:id="rId116" name="Check Box 113">
              <controlPr defaultSize="0" autoFill="0" autoLine="0" autoPict="0" altText="">
                <anchor moveWithCells="1">
                  <from>
                    <xdr:col>17</xdr:col>
                    <xdr:colOff>209550</xdr:colOff>
                    <xdr:row>51</xdr:row>
                    <xdr:rowOff>180975</xdr:rowOff>
                  </from>
                  <to>
                    <xdr:col>19</xdr:col>
                    <xdr:colOff>38100</xdr:colOff>
                    <xdr:row>53</xdr:row>
                    <xdr:rowOff>9525</xdr:rowOff>
                  </to>
                </anchor>
              </controlPr>
            </control>
          </mc:Choice>
        </mc:AlternateContent>
        <mc:AlternateContent xmlns:mc="http://schemas.openxmlformats.org/markup-compatibility/2006">
          <mc:Choice Requires="x14">
            <control shapeId="145522" r:id="rId117" name="Check Box 114">
              <controlPr defaultSize="0" autoFill="0" autoLine="0" autoPict="0" altText="">
                <anchor moveWithCells="1">
                  <from>
                    <xdr:col>21</xdr:col>
                    <xdr:colOff>209550</xdr:colOff>
                    <xdr:row>51</xdr:row>
                    <xdr:rowOff>180975</xdr:rowOff>
                  </from>
                  <to>
                    <xdr:col>23</xdr:col>
                    <xdr:colOff>38100</xdr:colOff>
                    <xdr:row>53</xdr:row>
                    <xdr:rowOff>9525</xdr:rowOff>
                  </to>
                </anchor>
              </controlPr>
            </control>
          </mc:Choice>
        </mc:AlternateContent>
        <mc:AlternateContent xmlns:mc="http://schemas.openxmlformats.org/markup-compatibility/2006">
          <mc:Choice Requires="x14">
            <control shapeId="145523" r:id="rId118" name="Check Box 115">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4" r:id="rId119" name="Check Box 116">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5" r:id="rId120" name="Check Box 117">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6" r:id="rId121" name="Check Box 118">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7" r:id="rId122"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145528" r:id="rId123"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145529" r:id="rId124"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145530" r:id="rId125" name="Check Box 122">
              <controlPr defaultSize="0" autoFill="0" autoLine="0" autoPict="0" altText="">
                <anchor moveWithCells="1">
                  <from>
                    <xdr:col>9</xdr:col>
                    <xdr:colOff>209550</xdr:colOff>
                    <xdr:row>54</xdr:row>
                    <xdr:rowOff>180975</xdr:rowOff>
                  </from>
                  <to>
                    <xdr:col>11</xdr:col>
                    <xdr:colOff>38100</xdr:colOff>
                    <xdr:row>56</xdr:row>
                    <xdr:rowOff>9525</xdr:rowOff>
                  </to>
                </anchor>
              </controlPr>
            </control>
          </mc:Choice>
        </mc:AlternateContent>
        <mc:AlternateContent xmlns:mc="http://schemas.openxmlformats.org/markup-compatibility/2006">
          <mc:Choice Requires="x14">
            <control shapeId="145531" r:id="rId126" name="Check Box 123">
              <controlPr defaultSize="0" autoFill="0" autoLine="0" autoPict="0" altText="">
                <anchor moveWithCells="1">
                  <from>
                    <xdr:col>3</xdr:col>
                    <xdr:colOff>209550</xdr:colOff>
                    <xdr:row>53</xdr:row>
                    <xdr:rowOff>180975</xdr:rowOff>
                  </from>
                  <to>
                    <xdr:col>5</xdr:col>
                    <xdr:colOff>38100</xdr:colOff>
                    <xdr:row>55</xdr:row>
                    <xdr:rowOff>9525</xdr:rowOff>
                  </to>
                </anchor>
              </controlPr>
            </control>
          </mc:Choice>
        </mc:AlternateContent>
        <mc:AlternateContent xmlns:mc="http://schemas.openxmlformats.org/markup-compatibility/2006">
          <mc:Choice Requires="x14">
            <control shapeId="145532" r:id="rId127" name="Check Box 124">
              <controlPr defaultSize="0" autoFill="0" autoLine="0" autoPict="0" altText="">
                <anchor moveWithCells="1">
                  <from>
                    <xdr:col>3</xdr:col>
                    <xdr:colOff>209550</xdr:colOff>
                    <xdr:row>54</xdr:row>
                    <xdr:rowOff>180975</xdr:rowOff>
                  </from>
                  <to>
                    <xdr:col>5</xdr:col>
                    <xdr:colOff>38100</xdr:colOff>
                    <xdr:row>56</xdr:row>
                    <xdr:rowOff>9525</xdr:rowOff>
                  </to>
                </anchor>
              </controlPr>
            </control>
          </mc:Choice>
        </mc:AlternateContent>
        <mc:AlternateContent xmlns:mc="http://schemas.openxmlformats.org/markup-compatibility/2006">
          <mc:Choice Requires="x14">
            <control shapeId="145533" r:id="rId128" name="Check Box 125">
              <controlPr defaultSize="0" autoFill="0" autoLine="0" autoPict="0" altText="">
                <anchor moveWithCells="1">
                  <from>
                    <xdr:col>9</xdr:col>
                    <xdr:colOff>209550</xdr:colOff>
                    <xdr:row>55</xdr:row>
                    <xdr:rowOff>180975</xdr:rowOff>
                  </from>
                  <to>
                    <xdr:col>11</xdr:col>
                    <xdr:colOff>38100</xdr:colOff>
                    <xdr:row>57</xdr:row>
                    <xdr:rowOff>9525</xdr:rowOff>
                  </to>
                </anchor>
              </controlPr>
            </control>
          </mc:Choice>
        </mc:AlternateContent>
        <mc:AlternateContent xmlns:mc="http://schemas.openxmlformats.org/markup-compatibility/2006">
          <mc:Choice Requires="x14">
            <control shapeId="145534" r:id="rId129" name="Check Box 126">
              <controlPr defaultSize="0" autoFill="0" autoLine="0" autoPict="0" altText="">
                <anchor moveWithCells="1">
                  <from>
                    <xdr:col>14</xdr:col>
                    <xdr:colOff>209550</xdr:colOff>
                    <xdr:row>54</xdr:row>
                    <xdr:rowOff>180975</xdr:rowOff>
                  </from>
                  <to>
                    <xdr:col>16</xdr:col>
                    <xdr:colOff>38100</xdr:colOff>
                    <xdr:row>56</xdr:row>
                    <xdr:rowOff>9525</xdr:rowOff>
                  </to>
                </anchor>
              </controlPr>
            </control>
          </mc:Choice>
        </mc:AlternateContent>
        <mc:AlternateContent xmlns:mc="http://schemas.openxmlformats.org/markup-compatibility/2006">
          <mc:Choice Requires="x14">
            <control shapeId="145535" r:id="rId130" name="Check Box 127">
              <controlPr defaultSize="0" autoFill="0" autoLine="0" autoPict="0" altText="">
                <anchor moveWithCells="1">
                  <from>
                    <xdr:col>9</xdr:col>
                    <xdr:colOff>209550</xdr:colOff>
                    <xdr:row>53</xdr:row>
                    <xdr:rowOff>180975</xdr:rowOff>
                  </from>
                  <to>
                    <xdr:col>11</xdr:col>
                    <xdr:colOff>38100</xdr:colOff>
                    <xdr:row>55</xdr:row>
                    <xdr:rowOff>9525</xdr:rowOff>
                  </to>
                </anchor>
              </controlPr>
            </control>
          </mc:Choice>
        </mc:AlternateContent>
        <mc:AlternateContent xmlns:mc="http://schemas.openxmlformats.org/markup-compatibility/2006">
          <mc:Choice Requires="x14">
            <control shapeId="145536" r:id="rId131" name="Check Box 128">
              <controlPr defaultSize="0" autoFill="0" autoLine="0" autoPict="0" altText="">
                <anchor moveWithCells="1">
                  <from>
                    <xdr:col>3</xdr:col>
                    <xdr:colOff>209550</xdr:colOff>
                    <xdr:row>55</xdr:row>
                    <xdr:rowOff>180975</xdr:rowOff>
                  </from>
                  <to>
                    <xdr:col>5</xdr:col>
                    <xdr:colOff>38100</xdr:colOff>
                    <xdr:row>57</xdr:row>
                    <xdr:rowOff>9525</xdr:rowOff>
                  </to>
                </anchor>
              </controlPr>
            </control>
          </mc:Choice>
        </mc:AlternateContent>
        <mc:AlternateContent xmlns:mc="http://schemas.openxmlformats.org/markup-compatibility/2006">
          <mc:Choice Requires="x14">
            <control shapeId="145537" r:id="rId132" name="Check Box 129">
              <controlPr defaultSize="0" autoFill="0" autoLine="0" autoPict="0" altText="">
                <anchor moveWithCells="1">
                  <from>
                    <xdr:col>14</xdr:col>
                    <xdr:colOff>209550</xdr:colOff>
                    <xdr:row>55</xdr:row>
                    <xdr:rowOff>180975</xdr:rowOff>
                  </from>
                  <to>
                    <xdr:col>16</xdr:col>
                    <xdr:colOff>38100</xdr:colOff>
                    <xdr:row>57</xdr:row>
                    <xdr:rowOff>9525</xdr:rowOff>
                  </to>
                </anchor>
              </controlPr>
            </control>
          </mc:Choice>
        </mc:AlternateContent>
        <mc:AlternateContent xmlns:mc="http://schemas.openxmlformats.org/markup-compatibility/2006">
          <mc:Choice Requires="x14">
            <control shapeId="145538" r:id="rId133" name="Check Box 130">
              <controlPr defaultSize="0" autoFill="0" autoLine="0" autoPict="0" altText="">
                <anchor moveWithCells="1">
                  <from>
                    <xdr:col>19</xdr:col>
                    <xdr:colOff>209550</xdr:colOff>
                    <xdr:row>54</xdr:row>
                    <xdr:rowOff>180975</xdr:rowOff>
                  </from>
                  <to>
                    <xdr:col>21</xdr:col>
                    <xdr:colOff>38100</xdr:colOff>
                    <xdr:row>56</xdr:row>
                    <xdr:rowOff>9525</xdr:rowOff>
                  </to>
                </anchor>
              </controlPr>
            </control>
          </mc:Choice>
        </mc:AlternateContent>
        <mc:AlternateContent xmlns:mc="http://schemas.openxmlformats.org/markup-compatibility/2006">
          <mc:Choice Requires="x14">
            <control shapeId="145539" r:id="rId134" name="Check Box 131">
              <controlPr defaultSize="0" autoFill="0" autoLine="0" autoPict="0" altText="">
                <anchor moveWithCells="1">
                  <from>
                    <xdr:col>19</xdr:col>
                    <xdr:colOff>209550</xdr:colOff>
                    <xdr:row>55</xdr:row>
                    <xdr:rowOff>180975</xdr:rowOff>
                  </from>
                  <to>
                    <xdr:col>21</xdr:col>
                    <xdr:colOff>38100</xdr:colOff>
                    <xdr:row>57</xdr:row>
                    <xdr:rowOff>9525</xdr:rowOff>
                  </to>
                </anchor>
              </controlPr>
            </control>
          </mc:Choice>
        </mc:AlternateContent>
        <mc:AlternateContent xmlns:mc="http://schemas.openxmlformats.org/markup-compatibility/2006">
          <mc:Choice Requires="x14">
            <control shapeId="145540" r:id="rId135" name="Check Box 132">
              <controlPr defaultSize="0" autoFill="0" autoLine="0" autoPict="0" altText="">
                <anchor moveWithCells="1">
                  <from>
                    <xdr:col>24</xdr:col>
                    <xdr:colOff>209550</xdr:colOff>
                    <xdr:row>55</xdr:row>
                    <xdr:rowOff>180975</xdr:rowOff>
                  </from>
                  <to>
                    <xdr:col>26</xdr:col>
                    <xdr:colOff>38100</xdr:colOff>
                    <xdr:row>57</xdr:row>
                    <xdr:rowOff>9525</xdr:rowOff>
                  </to>
                </anchor>
              </controlPr>
            </control>
          </mc:Choice>
        </mc:AlternateContent>
        <mc:AlternateContent xmlns:mc="http://schemas.openxmlformats.org/markup-compatibility/2006">
          <mc:Choice Requires="x14">
            <control shapeId="145541" r:id="rId136" name="Check Box 133">
              <controlPr defaultSize="0" autoFill="0" autoLine="0" autoPict="0" altText="">
                <anchor moveWithCells="1">
                  <from>
                    <xdr:col>24</xdr:col>
                    <xdr:colOff>209550</xdr:colOff>
                    <xdr:row>54</xdr:row>
                    <xdr:rowOff>180975</xdr:rowOff>
                  </from>
                  <to>
                    <xdr:col>26</xdr:col>
                    <xdr:colOff>38100</xdr:colOff>
                    <xdr:row>56</xdr:row>
                    <xdr:rowOff>9525</xdr:rowOff>
                  </to>
                </anchor>
              </controlPr>
            </control>
          </mc:Choice>
        </mc:AlternateContent>
        <mc:AlternateContent xmlns:mc="http://schemas.openxmlformats.org/markup-compatibility/2006">
          <mc:Choice Requires="x14">
            <control shapeId="145542" r:id="rId137" name="Check Box 134">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145543" r:id="rId138" name="Check Box 135">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145544" r:id="rId139"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145545" r:id="rId140"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145546" r:id="rId141"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145547" r:id="rId142"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5117038483843"/>
  </sheetPr>
  <dimension ref="A4:X48"/>
  <sheetViews>
    <sheetView workbookViewId="0"/>
  </sheetViews>
  <sheetFormatPr defaultColWidth="3.625" defaultRowHeight="15" customHeight="1"/>
  <cols>
    <col min="1" max="1" width="3.625" style="547" customWidth="1"/>
    <col min="2" max="16384" width="3.625" style="547"/>
  </cols>
  <sheetData>
    <row r="4" spans="1:24">
      <c r="A4" s="1622" t="s">
        <v>2769</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row>
    <row r="5" spans="1:24">
      <c r="A5" s="1622"/>
      <c r="B5" s="1622"/>
      <c r="C5" s="1622"/>
      <c r="D5" s="1622"/>
      <c r="E5" s="1622"/>
      <c r="F5" s="1622"/>
      <c r="G5" s="1622"/>
      <c r="H5" s="1622"/>
      <c r="I5" s="1622"/>
      <c r="J5" s="1622"/>
      <c r="K5" s="1622"/>
      <c r="L5" s="1622"/>
      <c r="M5" s="1622"/>
      <c r="N5" s="1622"/>
      <c r="O5" s="1622"/>
      <c r="P5" s="1622"/>
      <c r="Q5" s="1622"/>
      <c r="R5" s="1622"/>
      <c r="S5" s="1622"/>
      <c r="T5" s="1622"/>
      <c r="U5" s="1622"/>
      <c r="V5" s="1622"/>
      <c r="W5" s="1622"/>
      <c r="X5" s="1622"/>
    </row>
    <row r="10" spans="1:24">
      <c r="A10" s="547" t="s">
        <v>3083</v>
      </c>
      <c r="C10" s="1623" t="str">
        <f>cst_wskakunin_dairi1_JIMU_NAME</f>
        <v/>
      </c>
      <c r="D10" s="1623"/>
      <c r="E10" s="1623"/>
      <c r="F10" s="1623"/>
      <c r="G10" s="1623"/>
      <c r="H10" s="1623"/>
      <c r="I10" s="1623"/>
      <c r="J10" s="1623"/>
      <c r="K10" s="1623"/>
      <c r="L10" s="1623"/>
      <c r="M10" s="1623"/>
      <c r="N10" s="1623"/>
      <c r="O10" s="1623"/>
      <c r="P10" s="1623"/>
      <c r="Q10" s="1623"/>
      <c r="R10" s="1623"/>
      <c r="S10" s="1623"/>
      <c r="T10" s="1623"/>
      <c r="U10" s="1623"/>
      <c r="V10" s="547" t="s">
        <v>3084</v>
      </c>
    </row>
    <row r="11" spans="1:24">
      <c r="C11" s="1623" t="str">
        <f>cst_wskakunin_dairi1_NAME</f>
        <v/>
      </c>
      <c r="D11" s="1623"/>
      <c r="E11" s="1623"/>
      <c r="F11" s="1623"/>
      <c r="G11" s="1623"/>
      <c r="H11" s="1623"/>
      <c r="I11" s="1623"/>
      <c r="J11" s="1623"/>
      <c r="K11" s="1623"/>
      <c r="L11" s="1623"/>
      <c r="M11" s="1623"/>
      <c r="N11" s="1623"/>
      <c r="O11" s="1623"/>
      <c r="P11" s="1623"/>
      <c r="Q11" s="1623"/>
      <c r="R11" s="1623"/>
      <c r="S11" s="1623"/>
      <c r="T11" s="1623"/>
      <c r="U11" s="1623"/>
    </row>
    <row r="12" spans="1:24">
      <c r="A12" s="547" t="s">
        <v>3085</v>
      </c>
    </row>
    <row r="16" spans="1:24">
      <c r="A16" s="1624" t="s">
        <v>0</v>
      </c>
      <c r="B16" s="1624"/>
      <c r="C16" s="1624"/>
      <c r="D16" s="1624"/>
      <c r="E16" s="1624"/>
      <c r="F16" s="1624"/>
      <c r="G16" s="1624"/>
      <c r="H16" s="1624"/>
      <c r="I16" s="1624"/>
      <c r="J16" s="1624"/>
      <c r="K16" s="1624"/>
      <c r="L16" s="1624"/>
      <c r="M16" s="1624"/>
      <c r="N16" s="1624"/>
      <c r="O16" s="1624"/>
      <c r="P16" s="1624"/>
      <c r="Q16" s="1624"/>
      <c r="R16" s="1624"/>
      <c r="S16" s="1624"/>
      <c r="T16" s="1624"/>
      <c r="U16" s="1624"/>
      <c r="V16" s="1624"/>
      <c r="W16" s="1624"/>
      <c r="X16" s="1624"/>
    </row>
    <row r="20" spans="1:23">
      <c r="A20" s="548" t="s">
        <v>1193</v>
      </c>
      <c r="C20" s="549"/>
      <c r="D20" s="547" t="s">
        <v>3086</v>
      </c>
      <c r="G20" s="549"/>
      <c r="H20" s="547" t="s">
        <v>1232</v>
      </c>
      <c r="K20" s="549"/>
      <c r="L20" s="547" t="s">
        <v>1233</v>
      </c>
    </row>
    <row r="21" spans="1:23">
      <c r="C21" s="549"/>
      <c r="D21" s="547" t="s">
        <v>3082</v>
      </c>
      <c r="G21" s="1625"/>
      <c r="H21" s="1625"/>
      <c r="I21" s="1625"/>
      <c r="J21" s="1625"/>
      <c r="K21" s="1625"/>
      <c r="L21" s="1625"/>
      <c r="M21" s="1625"/>
      <c r="N21" s="1625"/>
      <c r="O21" s="1625"/>
      <c r="P21" s="1625"/>
      <c r="Q21" s="1625"/>
      <c r="R21" s="1625"/>
      <c r="S21" s="1625"/>
      <c r="T21" s="1625"/>
      <c r="U21" s="1625"/>
      <c r="V21" s="1625"/>
      <c r="W21" s="547" t="s">
        <v>6</v>
      </c>
    </row>
    <row r="23" spans="1:23">
      <c r="A23" s="548" t="s">
        <v>1200</v>
      </c>
      <c r="C23" s="1626" t="s">
        <v>3087</v>
      </c>
      <c r="D23" s="1626"/>
      <c r="E23" s="1626"/>
      <c r="F23" s="1626"/>
      <c r="G23" s="1626"/>
      <c r="H23" s="1626"/>
      <c r="I23" s="1626"/>
      <c r="J23" s="1626"/>
      <c r="K23" s="1626"/>
      <c r="L23" s="1626"/>
      <c r="M23" s="1626"/>
      <c r="N23" s="1626"/>
      <c r="O23" s="1626"/>
      <c r="P23" s="1626"/>
      <c r="Q23" s="1626"/>
      <c r="R23" s="1626"/>
      <c r="S23" s="1626"/>
      <c r="T23" s="1626"/>
      <c r="U23" s="1626"/>
      <c r="V23" s="1626"/>
      <c r="W23" s="1626"/>
    </row>
    <row r="24" spans="1:23">
      <c r="C24" s="1626"/>
      <c r="D24" s="1626"/>
      <c r="E24" s="1626"/>
      <c r="F24" s="1626"/>
      <c r="G24" s="1626"/>
      <c r="H24" s="1626"/>
      <c r="I24" s="1626"/>
      <c r="J24" s="1626"/>
      <c r="K24" s="1626"/>
      <c r="L24" s="1626"/>
      <c r="M24" s="1626"/>
      <c r="N24" s="1626"/>
      <c r="O24" s="1626"/>
      <c r="P24" s="1626"/>
      <c r="Q24" s="1626"/>
      <c r="R24" s="1626"/>
      <c r="S24" s="1626"/>
      <c r="T24" s="1626"/>
      <c r="U24" s="1626"/>
      <c r="V24" s="1626"/>
      <c r="W24" s="1626"/>
    </row>
    <row r="26" spans="1:23">
      <c r="A26" s="548" t="s">
        <v>1204</v>
      </c>
      <c r="C26" s="1627" t="s">
        <v>3088</v>
      </c>
      <c r="D26" s="1627"/>
      <c r="E26" s="1627"/>
      <c r="F26" s="1627"/>
      <c r="G26" s="1627"/>
      <c r="H26" s="1627"/>
      <c r="I26" s="1627"/>
      <c r="J26" s="1627"/>
      <c r="K26" s="1627"/>
      <c r="L26" s="1627"/>
      <c r="M26" s="1627"/>
      <c r="N26" s="1627"/>
      <c r="O26" s="1627"/>
      <c r="P26" s="1627"/>
      <c r="Q26" s="1627"/>
      <c r="R26" s="1627"/>
      <c r="S26" s="1627"/>
      <c r="T26" s="1627"/>
      <c r="U26" s="1627"/>
      <c r="V26" s="1627"/>
      <c r="W26" s="1627"/>
    </row>
    <row r="27" spans="1:23">
      <c r="D27" s="1628" t="str">
        <f>cst_wskakunin_BUILD__address</f>
        <v/>
      </c>
      <c r="E27" s="1628"/>
      <c r="F27" s="1628"/>
      <c r="G27" s="1628"/>
      <c r="H27" s="1628"/>
      <c r="I27" s="1628"/>
      <c r="J27" s="1628"/>
      <c r="K27" s="1628"/>
      <c r="L27" s="1628"/>
      <c r="M27" s="1628"/>
      <c r="N27" s="1628"/>
      <c r="O27" s="1628"/>
      <c r="P27" s="1628"/>
      <c r="Q27" s="1628"/>
      <c r="R27" s="1628"/>
      <c r="S27" s="1628"/>
      <c r="T27" s="1628"/>
      <c r="U27" s="1628"/>
      <c r="V27" s="1628"/>
      <c r="W27" s="1628"/>
    </row>
    <row r="28" spans="1:23">
      <c r="D28" s="1628"/>
      <c r="E28" s="1628"/>
      <c r="F28" s="1628"/>
      <c r="G28" s="1628"/>
      <c r="H28" s="1628"/>
      <c r="I28" s="1628"/>
      <c r="J28" s="1628"/>
      <c r="K28" s="1628"/>
      <c r="L28" s="1628"/>
      <c r="M28" s="1628"/>
      <c r="N28" s="1628"/>
      <c r="O28" s="1628"/>
      <c r="P28" s="1628"/>
      <c r="Q28" s="1628"/>
      <c r="R28" s="1628"/>
      <c r="S28" s="1628"/>
      <c r="T28" s="1628"/>
      <c r="U28" s="1628"/>
      <c r="V28" s="1628"/>
      <c r="W28" s="1628"/>
    </row>
    <row r="29" spans="1:23">
      <c r="D29" s="1628"/>
      <c r="E29" s="1628"/>
      <c r="F29" s="1628"/>
      <c r="G29" s="1628"/>
      <c r="H29" s="1628"/>
      <c r="I29" s="1628"/>
      <c r="J29" s="1628"/>
      <c r="K29" s="1628"/>
      <c r="L29" s="1628"/>
      <c r="M29" s="1628"/>
      <c r="N29" s="1628"/>
      <c r="O29" s="1628"/>
      <c r="P29" s="1628"/>
      <c r="Q29" s="1628"/>
      <c r="R29" s="1628"/>
      <c r="S29" s="1628"/>
      <c r="T29" s="1628"/>
      <c r="U29" s="1628"/>
      <c r="V29" s="1628"/>
      <c r="W29" s="1628"/>
    </row>
    <row r="30" spans="1:23">
      <c r="D30" s="1628"/>
      <c r="E30" s="1628"/>
      <c r="F30" s="1628"/>
      <c r="G30" s="1628"/>
      <c r="H30" s="1628"/>
      <c r="I30" s="1628"/>
      <c r="J30" s="1628"/>
      <c r="K30" s="1628"/>
      <c r="L30" s="1628"/>
      <c r="M30" s="1628"/>
      <c r="N30" s="1628"/>
      <c r="O30" s="1628"/>
      <c r="P30" s="1628"/>
      <c r="Q30" s="1628"/>
      <c r="R30" s="1628"/>
      <c r="S30" s="1628"/>
      <c r="T30" s="1628"/>
      <c r="U30" s="1628"/>
      <c r="V30" s="1628"/>
      <c r="W30" s="1628"/>
    </row>
    <row r="32" spans="1:23">
      <c r="B32" s="1629" t="s">
        <v>3089</v>
      </c>
      <c r="C32" s="1629"/>
      <c r="D32" s="550"/>
      <c r="E32" s="551" t="s">
        <v>371</v>
      </c>
      <c r="F32" s="550"/>
      <c r="G32" s="551" t="s">
        <v>4</v>
      </c>
      <c r="H32" s="550"/>
      <c r="I32" s="551" t="s">
        <v>373</v>
      </c>
    </row>
    <row r="34" spans="3:23">
      <c r="C34" s="1623" t="str">
        <f>cst_wskakunin_owner1__address</f>
        <v/>
      </c>
      <c r="D34" s="1623"/>
      <c r="E34" s="1623"/>
      <c r="F34" s="1623"/>
      <c r="G34" s="1623"/>
      <c r="H34" s="1623"/>
      <c r="I34" s="1623"/>
      <c r="J34" s="1623"/>
      <c r="K34" s="1623"/>
      <c r="L34" s="1623"/>
      <c r="M34" s="1623"/>
      <c r="N34" s="1623"/>
      <c r="O34" s="1623"/>
      <c r="P34" s="1623"/>
      <c r="Q34" s="1623"/>
      <c r="R34" s="1623"/>
      <c r="S34" s="1623"/>
      <c r="T34" s="1623"/>
      <c r="U34" s="1623"/>
      <c r="V34" s="1623"/>
      <c r="W34" s="1623"/>
    </row>
    <row r="35" spans="3:23">
      <c r="C35" s="1621" t="str">
        <f>cst_wskakunin_owner1_JIMU_NAME</f>
        <v/>
      </c>
      <c r="D35" s="1621"/>
      <c r="E35" s="1621"/>
      <c r="F35" s="1621"/>
      <c r="G35" s="1621"/>
      <c r="H35" s="1621"/>
      <c r="I35" s="1621"/>
      <c r="J35" s="1621"/>
      <c r="K35" s="1621"/>
      <c r="L35" s="1621"/>
      <c r="M35" s="1621"/>
      <c r="N35" s="1621"/>
      <c r="O35" s="1621"/>
      <c r="P35" s="1621"/>
      <c r="Q35" s="1621"/>
      <c r="R35" s="1621"/>
      <c r="S35" s="1621"/>
      <c r="T35" s="1621"/>
      <c r="U35" s="1621"/>
    </row>
    <row r="36" spans="3:23">
      <c r="C36" s="1621" t="str">
        <f>cst_wskakunin_owner1__space2</f>
        <v/>
      </c>
      <c r="D36" s="1621"/>
      <c r="E36" s="1621"/>
      <c r="F36" s="1621"/>
      <c r="G36" s="1621"/>
      <c r="H36" s="1621"/>
      <c r="I36" s="1621"/>
      <c r="J36" s="1621"/>
      <c r="K36" s="1621"/>
      <c r="L36" s="1621"/>
      <c r="M36" s="1621"/>
      <c r="N36" s="1621"/>
      <c r="O36" s="1621"/>
      <c r="P36" s="1621"/>
      <c r="Q36" s="1621"/>
      <c r="R36" s="1621"/>
      <c r="S36" s="1621"/>
      <c r="T36" s="1621"/>
      <c r="U36" s="1621"/>
      <c r="V36" s="551" t="s">
        <v>372</v>
      </c>
    </row>
    <row r="38" spans="3:23">
      <c r="C38" s="1623" t="str">
        <f>cst_wskakunin_owner2__address</f>
        <v/>
      </c>
      <c r="D38" s="1623"/>
      <c r="E38" s="1623"/>
      <c r="F38" s="1623"/>
      <c r="G38" s="1623"/>
      <c r="H38" s="1623"/>
      <c r="I38" s="1623"/>
      <c r="J38" s="1623"/>
      <c r="K38" s="1623"/>
      <c r="L38" s="1623"/>
      <c r="M38" s="1623"/>
      <c r="N38" s="1623"/>
      <c r="O38" s="1623"/>
      <c r="P38" s="1623"/>
      <c r="Q38" s="1623"/>
      <c r="R38" s="1623"/>
      <c r="S38" s="1623"/>
      <c r="T38" s="1623"/>
      <c r="U38" s="1623"/>
      <c r="V38" s="1623"/>
      <c r="W38" s="1623"/>
    </row>
    <row r="39" spans="3:23">
      <c r="C39" s="1621" t="str">
        <f>cst_wskakunin_owner2_JIMU_NAME</f>
        <v/>
      </c>
      <c r="D39" s="1621"/>
      <c r="E39" s="1621"/>
      <c r="F39" s="1621"/>
      <c r="G39" s="1621"/>
      <c r="H39" s="1621"/>
      <c r="I39" s="1621"/>
      <c r="J39" s="1621"/>
      <c r="K39" s="1621"/>
      <c r="L39" s="1621"/>
      <c r="M39" s="1621"/>
      <c r="N39" s="1621"/>
      <c r="O39" s="1621"/>
      <c r="P39" s="1621"/>
      <c r="Q39" s="1621"/>
      <c r="R39" s="1621"/>
      <c r="S39" s="1621"/>
      <c r="T39" s="1621"/>
      <c r="U39" s="1621"/>
    </row>
    <row r="40" spans="3:23">
      <c r="C40" s="1621" t="str">
        <f>cst_wskakunin_owner2__space2</f>
        <v/>
      </c>
      <c r="D40" s="1621"/>
      <c r="E40" s="1621"/>
      <c r="F40" s="1621"/>
      <c r="G40" s="1621"/>
      <c r="H40" s="1621"/>
      <c r="I40" s="1621"/>
      <c r="J40" s="1621"/>
      <c r="K40" s="1621"/>
      <c r="L40" s="1621"/>
      <c r="M40" s="1621"/>
      <c r="N40" s="1621"/>
      <c r="O40" s="1621"/>
      <c r="P40" s="1621"/>
      <c r="Q40" s="1621"/>
      <c r="R40" s="1621"/>
      <c r="S40" s="1621"/>
      <c r="T40" s="1621"/>
      <c r="U40" s="1621"/>
      <c r="V40" s="552" t="str">
        <f>IF(C40="","","印")</f>
        <v/>
      </c>
    </row>
    <row r="42" spans="3:23">
      <c r="C42" s="1623" t="str">
        <f>cst_wskakunin_owner3__address</f>
        <v/>
      </c>
      <c r="D42" s="1623"/>
      <c r="E42" s="1623"/>
      <c r="F42" s="1623"/>
      <c r="G42" s="1623"/>
      <c r="H42" s="1623"/>
      <c r="I42" s="1623"/>
      <c r="J42" s="1623"/>
      <c r="K42" s="1623"/>
      <c r="L42" s="1623"/>
      <c r="M42" s="1623"/>
      <c r="N42" s="1623"/>
      <c r="O42" s="1623"/>
      <c r="P42" s="1623"/>
      <c r="Q42" s="1623"/>
      <c r="R42" s="1623"/>
      <c r="S42" s="1623"/>
      <c r="T42" s="1623"/>
      <c r="U42" s="1623"/>
      <c r="V42" s="1623"/>
      <c r="W42" s="1623"/>
    </row>
    <row r="43" spans="3:23">
      <c r="C43" s="1621" t="str">
        <f>cst_wskakunin_owner3_JIMU_NAME</f>
        <v/>
      </c>
      <c r="D43" s="1621"/>
      <c r="E43" s="1621"/>
      <c r="F43" s="1621"/>
      <c r="G43" s="1621"/>
      <c r="H43" s="1621"/>
      <c r="I43" s="1621"/>
      <c r="J43" s="1621"/>
      <c r="K43" s="1621"/>
      <c r="L43" s="1621"/>
      <c r="M43" s="1621"/>
      <c r="N43" s="1621"/>
      <c r="O43" s="1621"/>
      <c r="P43" s="1621"/>
      <c r="Q43" s="1621"/>
      <c r="R43" s="1621"/>
      <c r="S43" s="1621"/>
      <c r="T43" s="1621"/>
      <c r="U43" s="1621"/>
    </row>
    <row r="44" spans="3:23">
      <c r="C44" s="1621" t="str">
        <f>cst_wskakunin_owner3__space2</f>
        <v/>
      </c>
      <c r="D44" s="1621"/>
      <c r="E44" s="1621"/>
      <c r="F44" s="1621"/>
      <c r="G44" s="1621"/>
      <c r="H44" s="1621"/>
      <c r="I44" s="1621"/>
      <c r="J44" s="1621"/>
      <c r="K44" s="1621"/>
      <c r="L44" s="1621"/>
      <c r="M44" s="1621"/>
      <c r="N44" s="1621"/>
      <c r="O44" s="1621"/>
      <c r="P44" s="1621"/>
      <c r="Q44" s="1621"/>
      <c r="R44" s="1621"/>
      <c r="S44" s="1621"/>
      <c r="T44" s="1621"/>
      <c r="U44" s="1621"/>
      <c r="V44" s="552" t="str">
        <f>IF(C44="","","印")</f>
        <v/>
      </c>
    </row>
    <row r="46" spans="3:23">
      <c r="C46" s="1623" t="str">
        <f>cst_wskakunin_owner4__address</f>
        <v/>
      </c>
      <c r="D46" s="1623"/>
      <c r="E46" s="1623"/>
      <c r="F46" s="1623"/>
      <c r="G46" s="1623"/>
      <c r="H46" s="1623"/>
      <c r="I46" s="1623"/>
      <c r="J46" s="1623"/>
      <c r="K46" s="1623"/>
      <c r="L46" s="1623"/>
      <c r="M46" s="1623"/>
      <c r="N46" s="1623"/>
      <c r="O46" s="1623"/>
      <c r="P46" s="1623"/>
      <c r="Q46" s="1623"/>
      <c r="R46" s="1623"/>
      <c r="S46" s="1623"/>
      <c r="T46" s="1623"/>
      <c r="U46" s="1623"/>
      <c r="V46" s="1623"/>
      <c r="W46" s="1623"/>
    </row>
    <row r="47" spans="3:23">
      <c r="C47" s="1621" t="str">
        <f>cst_wskakunin_owner4_JIMU_NAME</f>
        <v/>
      </c>
      <c r="D47" s="1621"/>
      <c r="E47" s="1621"/>
      <c r="F47" s="1621"/>
      <c r="G47" s="1621"/>
      <c r="H47" s="1621"/>
      <c r="I47" s="1621"/>
      <c r="J47" s="1621"/>
      <c r="K47" s="1621"/>
      <c r="L47" s="1621"/>
      <c r="M47" s="1621"/>
      <c r="N47" s="1621"/>
      <c r="O47" s="1621"/>
      <c r="P47" s="1621"/>
      <c r="Q47" s="1621"/>
      <c r="R47" s="1621"/>
      <c r="S47" s="1621"/>
      <c r="T47" s="1621"/>
      <c r="U47" s="1621"/>
    </row>
    <row r="48" spans="3:23">
      <c r="C48" s="1621" t="str">
        <f>cst_wskakunin_owner4__space2</f>
        <v/>
      </c>
      <c r="D48" s="1621"/>
      <c r="E48" s="1621"/>
      <c r="F48" s="1621"/>
      <c r="G48" s="1621"/>
      <c r="H48" s="1621"/>
      <c r="I48" s="1621"/>
      <c r="J48" s="1621"/>
      <c r="K48" s="1621"/>
      <c r="L48" s="1621"/>
      <c r="M48" s="1621"/>
      <c r="N48" s="1621"/>
      <c r="O48" s="1621"/>
      <c r="P48" s="1621"/>
      <c r="Q48" s="1621"/>
      <c r="R48" s="1621"/>
      <c r="S48" s="1621"/>
      <c r="T48" s="1621"/>
      <c r="U48" s="1621"/>
      <c r="V48" s="552" t="str">
        <f>IF(C48="","","印")</f>
        <v/>
      </c>
    </row>
  </sheetData>
  <mergeCells count="21">
    <mergeCell ref="C46:W46"/>
    <mergeCell ref="C47:U47"/>
    <mergeCell ref="C48:U48"/>
    <mergeCell ref="C38:W38"/>
    <mergeCell ref="C39:U39"/>
    <mergeCell ref="C40:U40"/>
    <mergeCell ref="C42:W42"/>
    <mergeCell ref="C43:U43"/>
    <mergeCell ref="C44:U44"/>
    <mergeCell ref="C36:U36"/>
    <mergeCell ref="A4:X5"/>
    <mergeCell ref="C10:U10"/>
    <mergeCell ref="C11:U11"/>
    <mergeCell ref="A16:X16"/>
    <mergeCell ref="G21:V21"/>
    <mergeCell ref="C23:W24"/>
    <mergeCell ref="C26:W26"/>
    <mergeCell ref="D27:W30"/>
    <mergeCell ref="B32:C32"/>
    <mergeCell ref="C34:W34"/>
    <mergeCell ref="C35:U35"/>
  </mergeCells>
  <phoneticPr fontId="139"/>
  <dataValidations count="1">
    <dataValidation allowBlank="1" showInputMessage="1" showErrorMessage="1" sqref="D32 F32 H32" xr:uid="{00000000-0002-0000-13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
                <anchor moveWithCells="1">
                  <from>
                    <xdr:col>2</xdr:col>
                    <xdr:colOff>28575</xdr:colOff>
                    <xdr:row>18</xdr:row>
                    <xdr:rowOff>180975</xdr:rowOff>
                  </from>
                  <to>
                    <xdr:col>3</xdr:col>
                    <xdr:colOff>57150</xdr:colOff>
                    <xdr:row>20</xdr:row>
                    <xdr:rowOff>9525</xdr:rowOff>
                  </to>
                </anchor>
              </controlPr>
            </control>
          </mc:Choice>
        </mc:AlternateContent>
        <mc:AlternateContent xmlns:mc="http://schemas.openxmlformats.org/markup-compatibility/2006">
          <mc:Choice Requires="x14">
            <control shapeId="40962" r:id="rId5" name="Check Box 2">
              <controlPr defaultSize="0" autoFill="0" autoLine="0" autoPict="0" altText="">
                <anchor moveWithCells="1">
                  <from>
                    <xdr:col>6</xdr:col>
                    <xdr:colOff>28575</xdr:colOff>
                    <xdr:row>18</xdr:row>
                    <xdr:rowOff>180975</xdr:rowOff>
                  </from>
                  <to>
                    <xdr:col>7</xdr:col>
                    <xdr:colOff>57150</xdr:colOff>
                    <xdr:row>20</xdr:row>
                    <xdr:rowOff>9525</xdr:rowOff>
                  </to>
                </anchor>
              </controlPr>
            </control>
          </mc:Choice>
        </mc:AlternateContent>
        <mc:AlternateContent xmlns:mc="http://schemas.openxmlformats.org/markup-compatibility/2006">
          <mc:Choice Requires="x14">
            <control shapeId="40963" r:id="rId6" name="Check Box 3">
              <controlPr defaultSize="0" autoFill="0" autoLine="0" autoPict="0" altText="">
                <anchor moveWithCells="1">
                  <from>
                    <xdr:col>10</xdr:col>
                    <xdr:colOff>28575</xdr:colOff>
                    <xdr:row>18</xdr:row>
                    <xdr:rowOff>180975</xdr:rowOff>
                  </from>
                  <to>
                    <xdr:col>11</xdr:col>
                    <xdr:colOff>57150</xdr:colOff>
                    <xdr:row>20</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ltText="">
                <anchor moveWithCells="1">
                  <from>
                    <xdr:col>2</xdr:col>
                    <xdr:colOff>28575</xdr:colOff>
                    <xdr:row>19</xdr:row>
                    <xdr:rowOff>180975</xdr:rowOff>
                  </from>
                  <to>
                    <xdr:col>3</xdr:col>
                    <xdr:colOff>57150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2065187536243"/>
    <pageSetUpPr fitToPage="1"/>
  </sheetPr>
  <dimension ref="A1:AP324"/>
  <sheetViews>
    <sheetView zoomScaleNormal="100" workbookViewId="0"/>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3663</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634" t="s">
        <v>3090</v>
      </c>
      <c r="B3" s="1634"/>
      <c r="C3" s="1634"/>
      <c r="D3" s="1634"/>
      <c r="E3" s="1634"/>
      <c r="F3" s="1634"/>
      <c r="G3" s="1634"/>
      <c r="H3" s="1634"/>
      <c r="I3" s="1634"/>
      <c r="J3" s="1634"/>
      <c r="K3" s="1634"/>
      <c r="L3" s="1634"/>
      <c r="M3" s="1634"/>
      <c r="N3" s="1634"/>
      <c r="O3" s="1634"/>
      <c r="P3" s="1634"/>
      <c r="Q3" s="1634"/>
      <c r="R3" s="1634"/>
      <c r="S3" s="1634"/>
      <c r="T3" s="1634"/>
      <c r="U3" s="1634"/>
      <c r="V3" s="1634"/>
      <c r="W3" s="1634"/>
      <c r="X3" s="1634"/>
      <c r="Z3" s="936"/>
      <c r="AA3" s="937"/>
    </row>
    <row r="4" spans="1:42" s="935" customFormat="1" ht="15" customHeight="1">
      <c r="A4" s="1652" t="s">
        <v>13</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Z4" s="936"/>
      <c r="AA4" s="938"/>
      <c r="AH4" s="934"/>
      <c r="AI4" s="939"/>
      <c r="AJ4" s="934"/>
      <c r="AK4" s="934"/>
      <c r="AL4" s="934"/>
      <c r="AM4" s="934"/>
      <c r="AN4" s="934"/>
      <c r="AO4" s="934"/>
      <c r="AP4" s="934"/>
    </row>
    <row r="5" spans="1:42" s="935" customFormat="1" ht="15" customHeight="1">
      <c r="A5" s="1652"/>
      <c r="B5" s="1652"/>
      <c r="C5" s="1652"/>
      <c r="D5" s="1652"/>
      <c r="E5" s="1652"/>
      <c r="F5" s="1652"/>
      <c r="G5" s="1652"/>
      <c r="H5" s="1652"/>
      <c r="I5" s="1652"/>
      <c r="J5" s="1652"/>
      <c r="K5" s="1652"/>
      <c r="L5" s="1652"/>
      <c r="M5" s="1652"/>
      <c r="N5" s="1652"/>
      <c r="O5" s="1652"/>
      <c r="P5" s="1652"/>
      <c r="Q5" s="1652"/>
      <c r="R5" s="1652"/>
      <c r="S5" s="1652"/>
      <c r="T5" s="1652"/>
      <c r="U5" s="1652"/>
      <c r="V5" s="1652"/>
      <c r="W5" s="1652"/>
      <c r="X5" s="1652"/>
      <c r="Z5" s="936"/>
      <c r="AA5" s="938"/>
      <c r="AH5" s="940"/>
      <c r="AI5" s="941"/>
      <c r="AJ5" s="941"/>
      <c r="AK5" s="941"/>
      <c r="AL5" s="941"/>
      <c r="AM5" s="941"/>
      <c r="AN5" s="941"/>
      <c r="AO5" s="941"/>
      <c r="AP5" s="941"/>
    </row>
    <row r="6" spans="1:42" s="935" customFormat="1" ht="15" customHeight="1">
      <c r="A6" s="1634" t="s">
        <v>3091</v>
      </c>
      <c r="B6" s="1634"/>
      <c r="C6" s="1634"/>
      <c r="D6" s="1634"/>
      <c r="E6" s="1634"/>
      <c r="F6" s="1634"/>
      <c r="G6" s="1634"/>
      <c r="H6" s="1634"/>
      <c r="I6" s="1634"/>
      <c r="J6" s="1634"/>
      <c r="K6" s="1634"/>
      <c r="L6" s="1634"/>
      <c r="M6" s="1634"/>
      <c r="N6" s="1634"/>
      <c r="O6" s="1634"/>
      <c r="P6" s="1634"/>
      <c r="Q6" s="1634"/>
      <c r="R6" s="1634"/>
      <c r="S6" s="1634"/>
      <c r="T6" s="1634"/>
      <c r="U6" s="1634"/>
      <c r="V6" s="1634"/>
      <c r="W6" s="1634"/>
      <c r="X6" s="1634"/>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653" t="s">
        <v>3664</v>
      </c>
      <c r="R8" s="1653"/>
      <c r="S8" s="1653"/>
      <c r="T8" s="1653"/>
      <c r="U8" s="1653"/>
      <c r="V8" s="1653"/>
      <c r="W8" s="1653"/>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645" t="str">
        <f>cst_wskakunin_owner1__space</f>
        <v/>
      </c>
      <c r="H12" s="1645"/>
      <c r="I12" s="1645"/>
      <c r="J12" s="1645"/>
      <c r="K12" s="1645"/>
      <c r="L12" s="1645"/>
      <c r="M12" s="1645"/>
      <c r="N12" s="1645"/>
      <c r="O12" s="1645"/>
      <c r="P12" s="1645"/>
      <c r="Q12" s="1645"/>
      <c r="R12" s="1645"/>
      <c r="S12" s="1645"/>
      <c r="T12" s="1645"/>
      <c r="U12" s="1645"/>
      <c r="V12" s="1645"/>
      <c r="W12" s="1645"/>
      <c r="X12" s="948"/>
      <c r="Y12" s="949" t="s">
        <v>2845</v>
      </c>
      <c r="Z12" s="936"/>
      <c r="AA12" s="944"/>
      <c r="AB12" s="935"/>
      <c r="AC12" s="935"/>
      <c r="AD12" s="935"/>
      <c r="AE12" s="935"/>
    </row>
    <row r="13" spans="1:42" s="934" customFormat="1" ht="15" customHeight="1">
      <c r="A13" s="933"/>
      <c r="B13" s="933"/>
      <c r="C13" s="933"/>
      <c r="D13" s="933"/>
      <c r="E13" s="933"/>
      <c r="F13" s="933"/>
      <c r="G13" s="1645"/>
      <c r="H13" s="1645"/>
      <c r="I13" s="1645"/>
      <c r="J13" s="1645"/>
      <c r="K13" s="1645"/>
      <c r="L13" s="1645"/>
      <c r="M13" s="1645"/>
      <c r="N13" s="1645"/>
      <c r="O13" s="1645"/>
      <c r="P13" s="1645"/>
      <c r="Q13" s="1645"/>
      <c r="R13" s="1645"/>
      <c r="S13" s="1645"/>
      <c r="T13" s="1645"/>
      <c r="U13" s="1645"/>
      <c r="V13" s="1645"/>
      <c r="W13" s="1645"/>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650" t="str">
        <f>cst_wskakunin_owner1_ZIP</f>
        <v/>
      </c>
      <c r="I14" s="1650"/>
      <c r="J14" s="1650"/>
      <c r="K14" s="1650"/>
      <c r="L14" s="1650"/>
      <c r="M14" s="1650"/>
      <c r="N14" s="1650"/>
      <c r="O14" s="1650"/>
      <c r="P14" s="1650"/>
      <c r="Q14" s="1650"/>
      <c r="R14" s="1650"/>
      <c r="S14" s="1650"/>
      <c r="T14" s="1650"/>
      <c r="U14" s="1650"/>
      <c r="V14" s="1650"/>
      <c r="W14" s="1650"/>
      <c r="X14" s="933"/>
      <c r="Y14" s="950" t="str">
        <f>HYPERLINK("#A55：X108")</f>
        <v>#A55：X108</v>
      </c>
      <c r="Z14" s="953" t="s">
        <v>3665</v>
      </c>
      <c r="AA14" s="954"/>
      <c r="AB14" s="955"/>
      <c r="AC14" s="955"/>
      <c r="AD14" s="955"/>
      <c r="AE14" s="955"/>
    </row>
    <row r="15" spans="1:42" s="934" customFormat="1" ht="15" customHeight="1">
      <c r="A15" s="933"/>
      <c r="B15" s="933" t="s">
        <v>21</v>
      </c>
      <c r="C15" s="933"/>
      <c r="D15" s="933"/>
      <c r="E15" s="933"/>
      <c r="F15" s="933"/>
      <c r="G15" s="1645" t="str">
        <f>cst_wskakunin_owner1__address</f>
        <v/>
      </c>
      <c r="H15" s="1645"/>
      <c r="I15" s="1645"/>
      <c r="J15" s="1645"/>
      <c r="K15" s="1645"/>
      <c r="L15" s="1645"/>
      <c r="M15" s="1645"/>
      <c r="N15" s="1645"/>
      <c r="O15" s="1645"/>
      <c r="P15" s="1645"/>
      <c r="Q15" s="1645"/>
      <c r="R15" s="1645"/>
      <c r="S15" s="1645"/>
      <c r="T15" s="1645"/>
      <c r="U15" s="1645"/>
      <c r="V15" s="1645"/>
      <c r="W15" s="1645"/>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645"/>
      <c r="H16" s="1645"/>
      <c r="I16" s="1645"/>
      <c r="J16" s="1645"/>
      <c r="K16" s="1645"/>
      <c r="L16" s="1645"/>
      <c r="M16" s="1645"/>
      <c r="N16" s="1645"/>
      <c r="O16" s="1645"/>
      <c r="P16" s="1645"/>
      <c r="Q16" s="1645"/>
      <c r="R16" s="1645"/>
      <c r="S16" s="1645"/>
      <c r="T16" s="1645"/>
      <c r="U16" s="1645"/>
      <c r="V16" s="1645"/>
      <c r="W16" s="1645"/>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650" t="str">
        <f>cst_wskakunin_owner1_TEL</f>
        <v/>
      </c>
      <c r="H17" s="1650"/>
      <c r="I17" s="1650"/>
      <c r="J17" s="1650"/>
      <c r="K17" s="1650"/>
      <c r="L17" s="1650"/>
      <c r="M17" s="1650"/>
      <c r="N17" s="1650"/>
      <c r="O17" s="1650"/>
      <c r="P17" s="1650"/>
      <c r="Q17" s="1650"/>
      <c r="R17" s="1650"/>
      <c r="S17" s="1650"/>
      <c r="T17" s="1650"/>
      <c r="U17" s="1650"/>
      <c r="V17" s="1650"/>
      <c r="W17" s="1650"/>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645" t="str">
        <f>IF(cst_wskakunin_sekou1_JIMU_NAME="",cst_wskakunin_sekkei1_NAME,cst_wskakunin_sekou1_NAME)</f>
        <v/>
      </c>
      <c r="H19" s="1645"/>
      <c r="I19" s="1645"/>
      <c r="J19" s="1645"/>
      <c r="K19" s="1645"/>
      <c r="L19" s="1645"/>
      <c r="M19" s="1645"/>
      <c r="N19" s="1645"/>
      <c r="O19" s="1645"/>
      <c r="P19" s="1645"/>
      <c r="Q19" s="1645"/>
      <c r="R19" s="1645"/>
      <c r="S19" s="1645"/>
      <c r="T19" s="1645"/>
      <c r="U19" s="1645"/>
      <c r="V19" s="1645"/>
      <c r="W19" s="1645"/>
      <c r="X19" s="933"/>
      <c r="Z19" s="933"/>
      <c r="AA19" s="933"/>
    </row>
    <row r="20" spans="1:31" s="942" customFormat="1" ht="15" customHeight="1">
      <c r="A20" s="933"/>
      <c r="B20" s="933" t="s">
        <v>37</v>
      </c>
      <c r="C20" s="933"/>
      <c r="D20" s="933"/>
      <c r="E20" s="933"/>
      <c r="F20" s="933"/>
      <c r="G20" s="1645" t="str">
        <f>IF(cst_wskakunin_sekou1_JIMU_NAME="",cst_wskakunin_sekkei1_JIMU_NAME,cst_wskakunin_sekou1_JIMU_NAME)</f>
        <v/>
      </c>
      <c r="H20" s="1645"/>
      <c r="I20" s="1645"/>
      <c r="J20" s="1645"/>
      <c r="K20" s="1645"/>
      <c r="L20" s="1645"/>
      <c r="M20" s="1645"/>
      <c r="N20" s="1645"/>
      <c r="O20" s="1645"/>
      <c r="P20" s="1645"/>
      <c r="Q20" s="1645"/>
      <c r="R20" s="1645"/>
      <c r="S20" s="1645"/>
      <c r="T20" s="1645"/>
      <c r="U20" s="1645"/>
      <c r="V20" s="1645"/>
      <c r="W20" s="1645"/>
      <c r="X20" s="958"/>
      <c r="Z20" s="933"/>
      <c r="AA20" s="958"/>
    </row>
    <row r="21" spans="1:31" s="942" customFormat="1" ht="15" customHeight="1">
      <c r="A21" s="933"/>
      <c r="B21" s="933" t="s">
        <v>3099</v>
      </c>
      <c r="C21" s="933"/>
      <c r="D21" s="933"/>
      <c r="E21" s="933"/>
      <c r="F21" s="933"/>
      <c r="G21" s="1645"/>
      <c r="H21" s="1645"/>
      <c r="I21" s="1645"/>
      <c r="J21" s="1645"/>
      <c r="K21" s="1645"/>
      <c r="L21" s="1645"/>
      <c r="M21" s="1645"/>
      <c r="N21" s="1645"/>
      <c r="O21" s="1645"/>
      <c r="P21" s="1645"/>
      <c r="Q21" s="1645"/>
      <c r="R21" s="1645"/>
      <c r="S21" s="1645"/>
      <c r="T21" s="1645"/>
      <c r="U21" s="1645"/>
      <c r="V21" s="1645"/>
      <c r="W21" s="1645"/>
      <c r="X21" s="958"/>
      <c r="Z21" s="933"/>
      <c r="AA21" s="958"/>
    </row>
    <row r="22" spans="1:31" s="942" customFormat="1" ht="15" customHeight="1">
      <c r="A22" s="933"/>
      <c r="B22" s="933" t="s">
        <v>20</v>
      </c>
      <c r="C22" s="933"/>
      <c r="D22" s="933"/>
      <c r="E22" s="933"/>
      <c r="F22" s="933"/>
      <c r="G22" s="952" t="s">
        <v>2429</v>
      </c>
      <c r="H22" s="1650" t="str">
        <f>IF(cst_wskakunin_sekou1_JIMU_NAME="",cst_wskakunin_sekkei1_ZIP,cst_wskakunin_sekou1_ZIP)</f>
        <v/>
      </c>
      <c r="I22" s="1650"/>
      <c r="J22" s="1650"/>
      <c r="K22" s="1650"/>
      <c r="L22" s="1650"/>
      <c r="M22" s="1650"/>
      <c r="N22" s="1650"/>
      <c r="O22" s="1650"/>
      <c r="P22" s="1650"/>
      <c r="Q22" s="1650"/>
      <c r="R22" s="1650"/>
      <c r="S22" s="1650"/>
      <c r="T22" s="1650"/>
      <c r="U22" s="1650"/>
      <c r="V22" s="1650"/>
      <c r="W22" s="1650"/>
      <c r="Z22" s="933"/>
    </row>
    <row r="23" spans="1:31" s="942" customFormat="1" ht="15" customHeight="1">
      <c r="A23" s="933"/>
      <c r="B23" s="933" t="s">
        <v>25</v>
      </c>
      <c r="C23" s="933"/>
      <c r="D23" s="933"/>
      <c r="E23" s="933"/>
      <c r="F23" s="933"/>
      <c r="G23" s="1645" t="str">
        <f>IF(cst_wskakunin_sekou1_JIMU_NAME="",cst_wskakunin_sekkei1__address,cst_wskakunin_sekou1__address)</f>
        <v/>
      </c>
      <c r="H23" s="1645"/>
      <c r="I23" s="1645"/>
      <c r="J23" s="1645"/>
      <c r="K23" s="1645"/>
      <c r="L23" s="1645"/>
      <c r="M23" s="1645"/>
      <c r="N23" s="1645"/>
      <c r="O23" s="1645"/>
      <c r="P23" s="1645"/>
      <c r="Q23" s="1645"/>
      <c r="R23" s="1645"/>
      <c r="S23" s="1645"/>
      <c r="T23" s="1645"/>
      <c r="U23" s="1645"/>
      <c r="V23" s="1645"/>
      <c r="W23" s="1645"/>
      <c r="Z23" s="933"/>
    </row>
    <row r="24" spans="1:31" s="942" customFormat="1" ht="15" customHeight="1">
      <c r="A24" s="933"/>
      <c r="B24" s="933"/>
      <c r="C24" s="933"/>
      <c r="D24" s="933"/>
      <c r="E24" s="933"/>
      <c r="F24" s="933"/>
      <c r="G24" s="1645"/>
      <c r="H24" s="1645"/>
      <c r="I24" s="1645"/>
      <c r="J24" s="1645"/>
      <c r="K24" s="1645"/>
      <c r="L24" s="1645"/>
      <c r="M24" s="1645"/>
      <c r="N24" s="1645"/>
      <c r="O24" s="1645"/>
      <c r="P24" s="1645"/>
      <c r="Q24" s="1645"/>
      <c r="R24" s="1645"/>
      <c r="S24" s="1645"/>
      <c r="T24" s="1645"/>
      <c r="U24" s="1645"/>
      <c r="V24" s="1645"/>
      <c r="W24" s="1645"/>
      <c r="Z24" s="933"/>
    </row>
    <row r="25" spans="1:31" s="942" customFormat="1" ht="15" customHeight="1">
      <c r="A25" s="933"/>
      <c r="B25" s="933" t="s">
        <v>22</v>
      </c>
      <c r="C25" s="933"/>
      <c r="D25" s="933"/>
      <c r="E25" s="933"/>
      <c r="F25" s="933"/>
      <c r="G25" s="1650" t="str">
        <f>IF(cst_wskakunin_sekou1_JIMU_NAME="",cst_wskakunin_sekkei1_TEL,cst_wskakunin_sekou1_TEL)</f>
        <v/>
      </c>
      <c r="H25" s="1650"/>
      <c r="I25" s="1650"/>
      <c r="J25" s="1650"/>
      <c r="K25" s="1650"/>
      <c r="L25" s="1650"/>
      <c r="M25" s="1650"/>
      <c r="N25" s="1650"/>
      <c r="O25" s="1650"/>
      <c r="P25" s="1650"/>
      <c r="Q25" s="1650"/>
      <c r="R25" s="1650"/>
      <c r="S25" s="1650"/>
      <c r="T25" s="1650"/>
      <c r="U25" s="1650"/>
      <c r="V25" s="1650"/>
      <c r="W25" s="1650"/>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650" t="str">
        <f>cst_wskakunin_kanri1_NAME</f>
        <v/>
      </c>
      <c r="H27" s="1650"/>
      <c r="I27" s="1650"/>
      <c r="J27" s="1650"/>
      <c r="K27" s="1650"/>
      <c r="L27" s="1650"/>
      <c r="M27" s="1650"/>
      <c r="N27" s="1650"/>
      <c r="O27" s="1650"/>
      <c r="P27" s="1650"/>
      <c r="Q27" s="1650"/>
      <c r="R27" s="1650"/>
      <c r="S27" s="1650"/>
      <c r="T27" s="1650"/>
      <c r="U27" s="1650"/>
      <c r="V27" s="1650"/>
      <c r="W27" s="1650"/>
      <c r="X27" s="948"/>
      <c r="Z27" s="933"/>
      <c r="AA27" s="948"/>
    </row>
    <row r="28" spans="1:31" s="934" customFormat="1" ht="15" customHeight="1">
      <c r="A28" s="933"/>
      <c r="B28" s="933" t="s">
        <v>37</v>
      </c>
      <c r="C28" s="933"/>
      <c r="D28" s="933"/>
      <c r="E28" s="933"/>
      <c r="F28" s="933"/>
      <c r="G28" s="1645" t="str">
        <f>cst_wskakunin_kanri1_JIMU_NAME</f>
        <v/>
      </c>
      <c r="H28" s="1645"/>
      <c r="I28" s="1645"/>
      <c r="J28" s="1645"/>
      <c r="K28" s="1645"/>
      <c r="L28" s="1645"/>
      <c r="M28" s="1645"/>
      <c r="N28" s="1645"/>
      <c r="O28" s="1645"/>
      <c r="P28" s="1645"/>
      <c r="Q28" s="1645"/>
      <c r="R28" s="1645"/>
      <c r="S28" s="1645"/>
      <c r="T28" s="1645"/>
      <c r="U28" s="1645"/>
      <c r="V28" s="1645"/>
      <c r="W28" s="1645"/>
      <c r="X28" s="933"/>
      <c r="Z28" s="933"/>
      <c r="AA28" s="933"/>
    </row>
    <row r="29" spans="1:31" s="934" customFormat="1" ht="15" customHeight="1">
      <c r="A29" s="933"/>
      <c r="B29" s="933" t="s">
        <v>3099</v>
      </c>
      <c r="C29" s="933"/>
      <c r="D29" s="933"/>
      <c r="E29" s="933"/>
      <c r="F29" s="933"/>
      <c r="G29" s="1645"/>
      <c r="H29" s="1645"/>
      <c r="I29" s="1645"/>
      <c r="J29" s="1645"/>
      <c r="K29" s="1645"/>
      <c r="L29" s="1645"/>
      <c r="M29" s="1645"/>
      <c r="N29" s="1645"/>
      <c r="O29" s="1645"/>
      <c r="P29" s="1645"/>
      <c r="Q29" s="1645"/>
      <c r="R29" s="1645"/>
      <c r="S29" s="1645"/>
      <c r="T29" s="1645"/>
      <c r="U29" s="1645"/>
      <c r="V29" s="1645"/>
      <c r="W29" s="1645"/>
      <c r="X29" s="948"/>
      <c r="Z29" s="933"/>
      <c r="AA29" s="948"/>
    </row>
    <row r="30" spans="1:31" s="934" customFormat="1" ht="15" customHeight="1">
      <c r="A30" s="933"/>
      <c r="B30" s="933" t="s">
        <v>20</v>
      </c>
      <c r="C30" s="933"/>
      <c r="D30" s="933"/>
      <c r="E30" s="933"/>
      <c r="F30" s="933"/>
      <c r="G30" s="952" t="s">
        <v>2429</v>
      </c>
      <c r="H30" s="1650" t="str">
        <f>cst_wskakunin_kanri1_ZIP</f>
        <v/>
      </c>
      <c r="I30" s="1650"/>
      <c r="J30" s="1650"/>
      <c r="K30" s="1650"/>
      <c r="L30" s="1650"/>
      <c r="M30" s="1650"/>
      <c r="N30" s="1650"/>
      <c r="O30" s="1650"/>
      <c r="P30" s="1650"/>
      <c r="Q30" s="1650"/>
      <c r="R30" s="1650"/>
      <c r="S30" s="1650"/>
      <c r="T30" s="1650"/>
      <c r="U30" s="1650"/>
      <c r="V30" s="1650"/>
      <c r="W30" s="1650"/>
      <c r="X30" s="933"/>
      <c r="Z30" s="933"/>
      <c r="AA30" s="933"/>
    </row>
    <row r="31" spans="1:31" s="934" customFormat="1" ht="15" customHeight="1">
      <c r="A31" s="933"/>
      <c r="B31" s="933" t="s">
        <v>25</v>
      </c>
      <c r="C31" s="933"/>
      <c r="D31" s="933"/>
      <c r="E31" s="933"/>
      <c r="F31" s="933"/>
      <c r="G31" s="1645" t="str">
        <f>cst_wskakunin_kanri1__address</f>
        <v/>
      </c>
      <c r="H31" s="1645"/>
      <c r="I31" s="1645"/>
      <c r="J31" s="1645"/>
      <c r="K31" s="1645"/>
      <c r="L31" s="1645"/>
      <c r="M31" s="1645"/>
      <c r="N31" s="1645"/>
      <c r="O31" s="1645"/>
      <c r="P31" s="1645"/>
      <c r="Q31" s="1645"/>
      <c r="R31" s="1645"/>
      <c r="S31" s="1645"/>
      <c r="T31" s="1645"/>
      <c r="U31" s="1645"/>
      <c r="V31" s="1645"/>
      <c r="W31" s="1645"/>
      <c r="X31" s="948"/>
      <c r="Z31" s="933"/>
      <c r="AA31" s="948"/>
    </row>
    <row r="32" spans="1:31" s="934" customFormat="1" ht="15" customHeight="1">
      <c r="A32" s="933"/>
      <c r="B32" s="933"/>
      <c r="C32" s="933"/>
      <c r="D32" s="933"/>
      <c r="E32" s="933"/>
      <c r="F32" s="933"/>
      <c r="G32" s="1645"/>
      <c r="H32" s="1645"/>
      <c r="I32" s="1645"/>
      <c r="J32" s="1645"/>
      <c r="K32" s="1645"/>
      <c r="L32" s="1645"/>
      <c r="M32" s="1645"/>
      <c r="N32" s="1645"/>
      <c r="O32" s="1645"/>
      <c r="P32" s="1645"/>
      <c r="Q32" s="1645"/>
      <c r="R32" s="1645"/>
      <c r="S32" s="1645"/>
      <c r="T32" s="1645"/>
      <c r="U32" s="1645"/>
      <c r="V32" s="1645"/>
      <c r="W32" s="1645"/>
      <c r="X32" s="948"/>
      <c r="Z32" s="933"/>
      <c r="AA32" s="948"/>
    </row>
    <row r="33" spans="1:42" s="934" customFormat="1" ht="15" customHeight="1">
      <c r="A33" s="933"/>
      <c r="B33" s="933" t="s">
        <v>22</v>
      </c>
      <c r="C33" s="933"/>
      <c r="D33" s="933"/>
      <c r="E33" s="933"/>
      <c r="F33" s="933"/>
      <c r="G33" s="1650" t="str">
        <f>cst_wskakunin_kanri1_TEL</f>
        <v/>
      </c>
      <c r="H33" s="1650"/>
      <c r="I33" s="1650"/>
      <c r="J33" s="1650"/>
      <c r="K33" s="1650"/>
      <c r="L33" s="1650"/>
      <c r="M33" s="1650"/>
      <c r="N33" s="1650"/>
      <c r="O33" s="1650"/>
      <c r="P33" s="1650"/>
      <c r="Q33" s="1650"/>
      <c r="R33" s="1650"/>
      <c r="S33" s="1650"/>
      <c r="T33" s="1650"/>
      <c r="U33" s="1650"/>
      <c r="V33" s="1650"/>
      <c r="W33" s="1650"/>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651" t="s">
        <v>3666</v>
      </c>
      <c r="J35" s="1651"/>
      <c r="K35" s="1651"/>
      <c r="L35" s="1651"/>
      <c r="M35" s="1651"/>
      <c r="N35" s="1651"/>
      <c r="O35" s="1651"/>
      <c r="P35" s="1651"/>
      <c r="Z35" s="933"/>
      <c r="AA35" s="933"/>
    </row>
    <row r="36" spans="1:42" s="934" customFormat="1" ht="15" customHeight="1">
      <c r="A36" s="933"/>
      <c r="B36" s="933" t="s">
        <v>3101</v>
      </c>
      <c r="C36" s="933"/>
      <c r="D36" s="933"/>
      <c r="E36" s="933"/>
      <c r="F36" s="933"/>
      <c r="I36" s="1651" t="s">
        <v>3379</v>
      </c>
      <c r="J36" s="1651"/>
      <c r="K36" s="1651"/>
      <c r="L36" s="1651"/>
      <c r="M36" s="1651"/>
      <c r="N36" s="1651"/>
      <c r="O36" s="1651"/>
      <c r="P36" s="1651"/>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649"/>
      <c r="H40" s="1649"/>
      <c r="I40" s="1649"/>
      <c r="J40" s="1649"/>
      <c r="K40" s="1649"/>
      <c r="L40" s="1649"/>
      <c r="M40" s="1649"/>
      <c r="N40" s="1649"/>
      <c r="O40" s="1649"/>
      <c r="P40" s="1649"/>
      <c r="Q40" s="1649"/>
      <c r="R40" s="1649"/>
      <c r="S40" s="1649"/>
      <c r="T40" s="1649"/>
      <c r="U40" s="1649"/>
      <c r="V40" s="1649"/>
      <c r="W40" s="1649"/>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649"/>
      <c r="H41" s="1649"/>
      <c r="I41" s="1649"/>
      <c r="J41" s="1649"/>
      <c r="K41" s="1649"/>
      <c r="L41" s="1649"/>
      <c r="M41" s="1649"/>
      <c r="N41" s="1649"/>
      <c r="O41" s="1649"/>
      <c r="P41" s="1649"/>
      <c r="Q41" s="1649"/>
      <c r="R41" s="1649"/>
      <c r="S41" s="1649"/>
      <c r="T41" s="1649"/>
      <c r="U41" s="1649"/>
      <c r="V41" s="1649"/>
      <c r="W41" s="1649"/>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647"/>
      <c r="I42" s="1647"/>
      <c r="J42" s="1647"/>
      <c r="K42" s="1647"/>
      <c r="L42" s="1647"/>
      <c r="M42" s="1647"/>
      <c r="N42" s="1647"/>
      <c r="O42" s="1647"/>
      <c r="P42" s="1647"/>
      <c r="Q42" s="1647"/>
      <c r="R42" s="1647"/>
      <c r="S42" s="1647"/>
      <c r="T42" s="1647"/>
      <c r="U42" s="1647"/>
      <c r="V42" s="1647"/>
      <c r="W42" s="1647"/>
      <c r="Z42" s="933"/>
      <c r="AI42" s="941"/>
      <c r="AJ42" s="941"/>
      <c r="AK42" s="941"/>
      <c r="AL42" s="941"/>
      <c r="AM42" s="941"/>
      <c r="AN42" s="941"/>
      <c r="AO42" s="941"/>
      <c r="AP42" s="941"/>
    </row>
    <row r="43" spans="1:42" s="942" customFormat="1" ht="15" customHeight="1">
      <c r="A43" s="933"/>
      <c r="B43" s="933" t="s">
        <v>25</v>
      </c>
      <c r="C43" s="933"/>
      <c r="D43" s="933"/>
      <c r="E43" s="933"/>
      <c r="F43" s="933"/>
      <c r="G43" s="1649"/>
      <c r="H43" s="1649"/>
      <c r="I43" s="1649"/>
      <c r="J43" s="1649"/>
      <c r="K43" s="1649"/>
      <c r="L43" s="1649"/>
      <c r="M43" s="1649"/>
      <c r="N43" s="1649"/>
      <c r="O43" s="1649"/>
      <c r="P43" s="1649"/>
      <c r="Q43" s="1649"/>
      <c r="R43" s="1649"/>
      <c r="S43" s="1649"/>
      <c r="T43" s="1649"/>
      <c r="U43" s="1649"/>
      <c r="V43" s="1649"/>
      <c r="W43" s="1649"/>
      <c r="Z43" s="933"/>
      <c r="AI43" s="941"/>
      <c r="AJ43" s="941"/>
      <c r="AK43" s="941"/>
      <c r="AL43" s="941"/>
      <c r="AM43" s="941"/>
      <c r="AN43" s="941"/>
      <c r="AO43" s="941"/>
      <c r="AP43" s="941"/>
    </row>
    <row r="44" spans="1:42" s="942" customFormat="1" ht="15" customHeight="1">
      <c r="A44" s="933"/>
      <c r="B44" s="933"/>
      <c r="C44" s="933"/>
      <c r="D44" s="933"/>
      <c r="E44" s="933"/>
      <c r="F44" s="933"/>
      <c r="G44" s="1649"/>
      <c r="H44" s="1649"/>
      <c r="I44" s="1649"/>
      <c r="J44" s="1649"/>
      <c r="K44" s="1649"/>
      <c r="L44" s="1649"/>
      <c r="M44" s="1649"/>
      <c r="N44" s="1649"/>
      <c r="O44" s="1649"/>
      <c r="P44" s="1649"/>
      <c r="Q44" s="1649"/>
      <c r="R44" s="1649"/>
      <c r="S44" s="1649"/>
      <c r="T44" s="1649"/>
      <c r="U44" s="1649"/>
      <c r="V44" s="1649"/>
      <c r="W44" s="1649"/>
      <c r="Z44" s="933"/>
      <c r="AI44" s="941"/>
      <c r="AJ44" s="941"/>
      <c r="AK44" s="941"/>
      <c r="AL44" s="941"/>
      <c r="AM44" s="941"/>
      <c r="AN44" s="941"/>
      <c r="AO44" s="941"/>
      <c r="AP44" s="941"/>
    </row>
    <row r="45" spans="1:42" s="942" customFormat="1" ht="15" customHeight="1">
      <c r="A45" s="933"/>
      <c r="B45" s="933" t="s">
        <v>22</v>
      </c>
      <c r="C45" s="933"/>
      <c r="D45" s="933"/>
      <c r="E45" s="933"/>
      <c r="F45" s="933"/>
      <c r="G45" s="1647"/>
      <c r="H45" s="1647"/>
      <c r="I45" s="1647"/>
      <c r="J45" s="1647"/>
      <c r="K45" s="1647"/>
      <c r="L45" s="1647"/>
      <c r="M45" s="1647"/>
      <c r="N45" s="1647"/>
      <c r="O45" s="1647"/>
      <c r="P45" s="1647"/>
      <c r="Q45" s="1647"/>
      <c r="R45" s="1647"/>
      <c r="S45" s="1647"/>
      <c r="T45" s="1647"/>
      <c r="U45" s="1647"/>
      <c r="V45" s="1647"/>
      <c r="W45" s="1647"/>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634" t="s">
        <v>3104</v>
      </c>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936" t="s">
        <v>3093</v>
      </c>
      <c r="Z55" s="936"/>
      <c r="AA55" s="943"/>
      <c r="AB55" s="935"/>
      <c r="AC55" s="935"/>
      <c r="AD55" s="935"/>
      <c r="AE55" s="935"/>
    </row>
    <row r="56" spans="1:40" s="942" customFormat="1" ht="15" customHeight="1">
      <c r="A56" s="957" t="s">
        <v>3667</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3668</v>
      </c>
      <c r="C57" s="933"/>
      <c r="D57" s="933"/>
      <c r="E57" s="933"/>
      <c r="I57" s="1648" t="str">
        <f>cst_wskakunin_KOUJI_TYAKUSYU_YOTEI_DATE</f>
        <v/>
      </c>
      <c r="J57" s="1648"/>
      <c r="K57" s="1648"/>
      <c r="L57" s="1648"/>
      <c r="M57" s="1648"/>
      <c r="W57" s="933"/>
      <c r="Y57" s="950" t="str">
        <f>HYPERLINK("#A1：X54")</f>
        <v>#A1：X54</v>
      </c>
      <c r="Z57" s="951" t="s">
        <v>2723</v>
      </c>
      <c r="AA57" s="947"/>
      <c r="AB57" s="946"/>
      <c r="AC57" s="946"/>
      <c r="AD57" s="946"/>
      <c r="AE57" s="946"/>
    </row>
    <row r="58" spans="1:40" s="942" customFormat="1" ht="15" customHeight="1">
      <c r="A58" s="933"/>
      <c r="B58" s="933" t="s">
        <v>3669</v>
      </c>
      <c r="C58" s="933"/>
      <c r="D58" s="933"/>
      <c r="E58" s="933"/>
      <c r="I58" s="1648" t="str">
        <f>cst_wskakunin_KOUJI_KANRYOU_YOTEI_DATE</f>
        <v/>
      </c>
      <c r="J58" s="1648"/>
      <c r="K58" s="1648"/>
      <c r="L58" s="1648"/>
      <c r="M58" s="1648"/>
      <c r="N58" s="933"/>
      <c r="O58" s="933"/>
      <c r="P58" s="933"/>
      <c r="Q58" s="933"/>
      <c r="W58" s="933"/>
      <c r="X58" s="933"/>
      <c r="Y58" s="950" t="str">
        <f>HYPERLINK("#A55：X108")</f>
        <v>#A55：X108</v>
      </c>
      <c r="Z58" s="953" t="s">
        <v>3665</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3670</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3671</v>
      </c>
      <c r="C61" s="933"/>
      <c r="D61" s="933"/>
      <c r="I61" s="965" t="s">
        <v>28</v>
      </c>
      <c r="J61" s="1641" t="s">
        <v>3106</v>
      </c>
      <c r="K61" s="1641"/>
      <c r="L61" s="965" t="s">
        <v>28</v>
      </c>
      <c r="M61" s="1641" t="s">
        <v>3107</v>
      </c>
      <c r="N61" s="1641"/>
      <c r="O61" s="1641"/>
      <c r="P61" s="1641"/>
      <c r="Q61" s="965" t="s">
        <v>28</v>
      </c>
      <c r="R61" s="1641" t="s">
        <v>3108</v>
      </c>
      <c r="S61" s="1641"/>
      <c r="T61" s="1641"/>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641" t="s">
        <v>3109</v>
      </c>
      <c r="K62" s="1641"/>
      <c r="L62" s="965" t="s">
        <v>28</v>
      </c>
      <c r="M62" s="1641" t="s">
        <v>3110</v>
      </c>
      <c r="N62" s="1641"/>
      <c r="O62" s="1641"/>
      <c r="P62" s="1641"/>
      <c r="Q62" s="965" t="s">
        <v>28</v>
      </c>
      <c r="R62" s="1641" t="s">
        <v>3111</v>
      </c>
      <c r="S62" s="1641"/>
      <c r="T62" s="1641"/>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3672</v>
      </c>
      <c r="C63" s="933"/>
      <c r="D63" s="933"/>
      <c r="E63" s="933"/>
      <c r="F63" s="933"/>
      <c r="G63" s="933"/>
      <c r="H63" s="933"/>
      <c r="I63" s="933"/>
      <c r="J63" s="965" t="s">
        <v>28</v>
      </c>
      <c r="K63" s="933" t="s">
        <v>3673</v>
      </c>
      <c r="L63" s="933"/>
      <c r="M63" s="933"/>
      <c r="N63" s="933"/>
      <c r="O63" s="933"/>
      <c r="P63" s="965" t="s">
        <v>28</v>
      </c>
      <c r="Q63" s="933" t="s">
        <v>3674</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3675</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3676</v>
      </c>
      <c r="L65" s="933"/>
      <c r="M65" s="933"/>
      <c r="N65" s="933"/>
      <c r="O65" s="933"/>
      <c r="P65" s="966"/>
      <c r="Q65" s="966"/>
      <c r="R65" s="965" t="s">
        <v>28</v>
      </c>
      <c r="S65" s="933" t="s">
        <v>3677</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3678</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645" t="str">
        <f>cst_wskakunin_BUILD__address</f>
        <v/>
      </c>
      <c r="G68" s="1645"/>
      <c r="H68" s="1645"/>
      <c r="I68" s="1645"/>
      <c r="J68" s="1645"/>
      <c r="K68" s="1645"/>
      <c r="L68" s="1645"/>
      <c r="M68" s="1645"/>
      <c r="N68" s="1645"/>
      <c r="O68" s="1645"/>
      <c r="P68" s="1645"/>
      <c r="Q68" s="1645"/>
      <c r="R68" s="1645"/>
      <c r="S68" s="1645"/>
      <c r="T68" s="1645"/>
      <c r="U68" s="1645"/>
      <c r="V68" s="1645"/>
      <c r="W68" s="1645"/>
      <c r="X68" s="933"/>
      <c r="Z68" s="933"/>
      <c r="AA68" s="933"/>
      <c r="AG68" s="941"/>
      <c r="AH68" s="941"/>
      <c r="AI68" s="941"/>
      <c r="AJ68" s="941"/>
      <c r="AK68" s="941"/>
      <c r="AL68" s="941"/>
      <c r="AM68" s="941"/>
      <c r="AN68" s="941"/>
    </row>
    <row r="69" spans="1:40" s="942" customFormat="1" ht="15" customHeight="1">
      <c r="A69" s="933"/>
      <c r="B69" s="933"/>
      <c r="C69" s="933"/>
      <c r="D69" s="933"/>
      <c r="E69" s="933"/>
      <c r="F69" s="1645"/>
      <c r="G69" s="1645"/>
      <c r="H69" s="1645"/>
      <c r="I69" s="1645"/>
      <c r="J69" s="1645"/>
      <c r="K69" s="1645"/>
      <c r="L69" s="1645"/>
      <c r="M69" s="1645"/>
      <c r="N69" s="1645"/>
      <c r="O69" s="1645"/>
      <c r="P69" s="1645"/>
      <c r="Q69" s="1645"/>
      <c r="R69" s="1645"/>
      <c r="S69" s="1645"/>
      <c r="T69" s="1645"/>
      <c r="U69" s="1645"/>
      <c r="V69" s="1645"/>
      <c r="W69" s="1645"/>
      <c r="X69" s="933"/>
      <c r="Z69" s="933"/>
      <c r="AA69" s="933"/>
    </row>
    <row r="70" spans="1:40" s="942" customFormat="1" ht="15" customHeight="1">
      <c r="A70" s="933"/>
      <c r="C70" s="933"/>
      <c r="D70" s="933"/>
      <c r="E70" s="933"/>
      <c r="F70" s="1645"/>
      <c r="G70" s="1645"/>
      <c r="H70" s="1645"/>
      <c r="I70" s="1645"/>
      <c r="J70" s="1645"/>
      <c r="K70" s="1645"/>
      <c r="L70" s="1645"/>
      <c r="M70" s="1645"/>
      <c r="N70" s="1645"/>
      <c r="O70" s="1645"/>
      <c r="P70" s="1645"/>
      <c r="Q70" s="1645"/>
      <c r="R70" s="1645"/>
      <c r="S70" s="1645"/>
      <c r="T70" s="1645"/>
      <c r="U70" s="1645"/>
      <c r="V70" s="1645"/>
      <c r="W70" s="1645"/>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3679</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646" t="s">
        <v>376</v>
      </c>
      <c r="I82" s="1646"/>
      <c r="J82" s="1646"/>
      <c r="K82" s="937" t="s">
        <v>6</v>
      </c>
      <c r="L82" s="933"/>
      <c r="M82" s="937" t="s">
        <v>401</v>
      </c>
      <c r="N82" s="1646" t="s">
        <v>376</v>
      </c>
      <c r="O82" s="1646"/>
      <c r="P82" s="1646"/>
      <c r="Q82" s="937" t="s">
        <v>6</v>
      </c>
      <c r="R82" s="933"/>
      <c r="S82" s="937" t="s">
        <v>401</v>
      </c>
      <c r="T82" s="1646" t="s">
        <v>376</v>
      </c>
      <c r="U82" s="1646"/>
      <c r="V82" s="1646"/>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3680</v>
      </c>
      <c r="I91" s="933"/>
      <c r="J91" s="933"/>
      <c r="K91" s="933"/>
      <c r="L91" s="933"/>
      <c r="M91" s="973" t="s">
        <v>28</v>
      </c>
      <c r="N91" s="974" t="s">
        <v>3680</v>
      </c>
      <c r="O91" s="933"/>
      <c r="P91" s="933"/>
      <c r="Q91" s="933"/>
      <c r="R91" s="933"/>
      <c r="S91" s="973" t="s">
        <v>28</v>
      </c>
      <c r="T91" s="974" t="s">
        <v>3680</v>
      </c>
      <c r="U91" s="933"/>
      <c r="V91" s="933"/>
      <c r="W91" s="933"/>
      <c r="X91" s="933"/>
      <c r="Z91" s="933"/>
      <c r="AA91" s="933"/>
    </row>
    <row r="92" spans="1:33" s="942" customFormat="1" ht="15" customHeight="1">
      <c r="A92" s="933"/>
      <c r="B92" s="1641" t="s">
        <v>3138</v>
      </c>
      <c r="C92" s="1641"/>
      <c r="D92" s="1641"/>
      <c r="E92" s="1641"/>
      <c r="F92" s="1641"/>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641" t="s">
        <v>3681</v>
      </c>
      <c r="I93" s="1641"/>
      <c r="J93" s="1641"/>
      <c r="K93" s="1641"/>
      <c r="L93" s="1641"/>
      <c r="M93" s="973" t="s">
        <v>28</v>
      </c>
      <c r="N93" s="1641" t="s">
        <v>3681</v>
      </c>
      <c r="O93" s="1641"/>
      <c r="P93" s="1641"/>
      <c r="Q93" s="1641"/>
      <c r="R93" s="1641"/>
      <c r="S93" s="973" t="s">
        <v>28</v>
      </c>
      <c r="T93" s="1641" t="s">
        <v>3681</v>
      </c>
      <c r="U93" s="1641"/>
      <c r="V93" s="1641"/>
      <c r="W93" s="1641"/>
      <c r="X93" s="1641"/>
      <c r="Z93" s="933"/>
      <c r="AA93" s="933"/>
    </row>
    <row r="94" spans="1:33" s="942" customFormat="1" ht="15" customHeight="1">
      <c r="A94" s="933"/>
      <c r="B94" s="933"/>
      <c r="C94" s="933"/>
      <c r="D94" s="933"/>
      <c r="E94" s="933"/>
      <c r="F94" s="933"/>
      <c r="G94" s="973" t="s">
        <v>28</v>
      </c>
      <c r="H94" s="933" t="s">
        <v>3682</v>
      </c>
      <c r="I94" s="933"/>
      <c r="J94" s="933"/>
      <c r="K94" s="933"/>
      <c r="L94" s="933"/>
      <c r="M94" s="973" t="s">
        <v>28</v>
      </c>
      <c r="N94" s="933" t="s">
        <v>3682</v>
      </c>
      <c r="O94" s="933"/>
      <c r="P94" s="933"/>
      <c r="Q94" s="933"/>
      <c r="R94" s="933"/>
      <c r="S94" s="973" t="s">
        <v>28</v>
      </c>
      <c r="T94" s="933" t="s">
        <v>3682</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641" t="s">
        <v>3683</v>
      </c>
      <c r="I96" s="1641"/>
      <c r="J96" s="1641"/>
      <c r="K96" s="1641"/>
      <c r="L96" s="1641"/>
      <c r="M96" s="973" t="s">
        <v>28</v>
      </c>
      <c r="N96" s="1641" t="s">
        <v>3683</v>
      </c>
      <c r="O96" s="1641"/>
      <c r="P96" s="1641"/>
      <c r="Q96" s="1641"/>
      <c r="R96" s="1641"/>
      <c r="S96" s="973" t="s">
        <v>28</v>
      </c>
      <c r="T96" s="1641" t="s">
        <v>3683</v>
      </c>
      <c r="U96" s="1641"/>
      <c r="V96" s="1641"/>
      <c r="W96" s="1641"/>
      <c r="X96" s="1641"/>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3684</v>
      </c>
      <c r="C98" s="933"/>
      <c r="D98" s="933"/>
      <c r="E98" s="933"/>
      <c r="F98" s="933"/>
      <c r="G98" s="937" t="s">
        <v>401</v>
      </c>
      <c r="H98" s="1643" t="str">
        <f>cst_koujikikan_month</f>
        <v/>
      </c>
      <c r="I98" s="1643"/>
      <c r="J98" s="933" t="s">
        <v>3685</v>
      </c>
      <c r="M98" s="937" t="s">
        <v>401</v>
      </c>
      <c r="N98" s="1642"/>
      <c r="O98" s="1642"/>
      <c r="P98" s="933" t="s">
        <v>3685</v>
      </c>
      <c r="S98" s="937" t="s">
        <v>401</v>
      </c>
      <c r="T98" s="1642"/>
      <c r="U98" s="1642"/>
      <c r="V98" s="933" t="s">
        <v>3685</v>
      </c>
      <c r="Z98" s="933"/>
      <c r="AA98" s="933"/>
    </row>
    <row r="99" spans="1:31" s="942" customFormat="1" ht="15" customHeight="1">
      <c r="A99" s="933"/>
      <c r="B99" s="933" t="s">
        <v>3686</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644" t="str">
        <f>cst_wskakunin_p4_1_YUKA_MENSEKI_SHINSEI</f>
        <v/>
      </c>
      <c r="I100" s="1644"/>
      <c r="J100" s="1644"/>
      <c r="K100" s="933" t="s">
        <v>3142</v>
      </c>
      <c r="L100" s="933"/>
      <c r="M100" s="937" t="s">
        <v>401</v>
      </c>
      <c r="N100" s="1644" t="str">
        <f>cst_wskakunin_p4_2_YUKA_MENSEKI_SHINSEI</f>
        <v/>
      </c>
      <c r="O100" s="1644"/>
      <c r="P100" s="1644"/>
      <c r="Q100" s="933" t="s">
        <v>3142</v>
      </c>
      <c r="R100" s="933"/>
      <c r="S100" s="937" t="s">
        <v>401</v>
      </c>
      <c r="T100" s="1644" t="str">
        <f>cst_wskakunin_p4_3_YUKA_MENSEKI_SHINSEI</f>
        <v/>
      </c>
      <c r="U100" s="1644"/>
      <c r="V100" s="1644"/>
      <c r="W100" s="933" t="s">
        <v>3142</v>
      </c>
      <c r="X100" s="933"/>
      <c r="Z100" s="933"/>
      <c r="AA100" s="933"/>
    </row>
    <row r="101" spans="1:31" s="942" customFormat="1" ht="15" customHeight="1">
      <c r="A101" s="933"/>
      <c r="B101" s="933" t="s">
        <v>3687</v>
      </c>
      <c r="C101" s="933"/>
      <c r="D101" s="933"/>
      <c r="E101" s="933"/>
      <c r="F101" s="933"/>
      <c r="G101" s="937" t="s">
        <v>401</v>
      </c>
      <c r="H101" s="1642"/>
      <c r="I101" s="1642"/>
      <c r="J101" s="933" t="s">
        <v>3143</v>
      </c>
      <c r="K101" s="934"/>
      <c r="L101" s="933"/>
      <c r="M101" s="937" t="s">
        <v>401</v>
      </c>
      <c r="N101" s="1642"/>
      <c r="O101" s="1642"/>
      <c r="P101" s="933" t="s">
        <v>3143</v>
      </c>
      <c r="Q101" s="934"/>
      <c r="R101" s="933"/>
      <c r="S101" s="937" t="s">
        <v>401</v>
      </c>
      <c r="T101" s="1642"/>
      <c r="U101" s="1642"/>
      <c r="V101" s="933" t="s">
        <v>3143</v>
      </c>
      <c r="W101" s="934"/>
      <c r="X101" s="933"/>
      <c r="Z101" s="933"/>
      <c r="AA101" s="933"/>
    </row>
    <row r="102" spans="1:31" s="942" customFormat="1" ht="15" customHeight="1">
      <c r="A102" s="933"/>
      <c r="B102" s="933" t="s">
        <v>3688</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638" t="str">
        <f>cst_wskakunin_p4_1_KAISU_TIKAI_NOZOKU</f>
        <v/>
      </c>
      <c r="I103" s="1638"/>
      <c r="J103" s="933" t="s">
        <v>3144</v>
      </c>
      <c r="K103" s="933"/>
      <c r="L103" s="933"/>
      <c r="M103" s="937" t="s">
        <v>401</v>
      </c>
      <c r="N103" s="1638" t="str">
        <f>cst_wskakunin_p4_2_KAISU_TIKAI_NOZOKU</f>
        <v/>
      </c>
      <c r="O103" s="1638"/>
      <c r="P103" s="933" t="s">
        <v>3144</v>
      </c>
      <c r="Q103" s="933"/>
      <c r="R103" s="933"/>
      <c r="S103" s="937" t="s">
        <v>401</v>
      </c>
      <c r="T103" s="1638" t="str">
        <f>cst_wskakunin_p4_3_KAISU_TIKAI_NOZOKU</f>
        <v/>
      </c>
      <c r="U103" s="1638"/>
      <c r="V103" s="933" t="s">
        <v>3144</v>
      </c>
      <c r="W103" s="933"/>
      <c r="X103" s="933"/>
      <c r="Z103" s="933"/>
      <c r="AA103" s="933"/>
    </row>
    <row r="104" spans="1:31" s="942" customFormat="1" ht="15" customHeight="1">
      <c r="A104" s="933"/>
      <c r="B104" s="933" t="s">
        <v>3689</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638" t="str">
        <f>cst_wskakunin_p4_1_KAISU_TIKAI</f>
        <v/>
      </c>
      <c r="I105" s="1638"/>
      <c r="J105" s="933" t="s">
        <v>3144</v>
      </c>
      <c r="K105" s="933"/>
      <c r="L105" s="933"/>
      <c r="M105" s="937" t="s">
        <v>401</v>
      </c>
      <c r="N105" s="1638" t="str">
        <f>cst_wskakunin_p4_2_KAISU_TIKAI</f>
        <v/>
      </c>
      <c r="O105" s="1638"/>
      <c r="P105" s="933" t="s">
        <v>3144</v>
      </c>
      <c r="Q105" s="933"/>
      <c r="R105" s="933"/>
      <c r="S105" s="937" t="s">
        <v>401</v>
      </c>
      <c r="T105" s="1638" t="str">
        <f>cst_wskakunin_p4_3_KAISU_TIKAI</f>
        <v/>
      </c>
      <c r="U105" s="1638"/>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639" t="str">
        <f>cst_wskakunin_SHIKITI_MENSEKI_1_TOTAL</f>
        <v/>
      </c>
      <c r="P107" s="1639"/>
      <c r="Q107" s="1639"/>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634" t="s">
        <v>419</v>
      </c>
      <c r="B109" s="1634"/>
      <c r="C109" s="1634"/>
      <c r="D109" s="1634"/>
      <c r="E109" s="1634"/>
      <c r="F109" s="1634"/>
      <c r="G109" s="1634"/>
      <c r="H109" s="1634"/>
      <c r="I109" s="1634"/>
      <c r="J109" s="1634"/>
      <c r="K109" s="1634"/>
      <c r="L109" s="1634"/>
      <c r="M109" s="1634"/>
      <c r="N109" s="1634"/>
      <c r="O109" s="1634"/>
      <c r="P109" s="1634"/>
      <c r="Q109" s="1634"/>
      <c r="R109" s="1634"/>
      <c r="S109" s="1634"/>
      <c r="T109" s="1634"/>
      <c r="U109" s="1634"/>
      <c r="V109" s="1634"/>
      <c r="W109" s="1634"/>
      <c r="X109" s="1634"/>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640" t="s">
        <v>3147</v>
      </c>
      <c r="B111" s="1640"/>
      <c r="C111" s="1640"/>
      <c r="D111" s="1640"/>
      <c r="E111" s="1640"/>
      <c r="F111" s="1640"/>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3665</v>
      </c>
      <c r="AA112" s="954"/>
      <c r="AB112" s="955"/>
      <c r="AC112" s="955"/>
      <c r="AD112" s="955"/>
      <c r="AE112" s="955"/>
    </row>
    <row r="113" spans="1:31" s="942" customFormat="1" ht="15" customHeight="1">
      <c r="A113" s="933"/>
      <c r="B113" s="933" t="s">
        <v>3690</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641" t="s">
        <v>3691</v>
      </c>
      <c r="G114" s="1641"/>
      <c r="H114" s="1641"/>
      <c r="I114" s="973" t="s">
        <v>28</v>
      </c>
      <c r="J114" s="933" t="s">
        <v>47</v>
      </c>
      <c r="K114" s="933"/>
      <c r="L114" s="973" t="s">
        <v>28</v>
      </c>
      <c r="M114" s="933" t="s">
        <v>368</v>
      </c>
      <c r="N114" s="933"/>
      <c r="O114" s="973" t="s">
        <v>28</v>
      </c>
      <c r="P114" s="933" t="s">
        <v>3692</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641" t="s">
        <v>3693</v>
      </c>
      <c r="G115" s="1641"/>
      <c r="H115" s="1641"/>
      <c r="I115" s="933"/>
      <c r="J115" s="933"/>
      <c r="K115" s="933"/>
      <c r="L115" s="973" t="s">
        <v>28</v>
      </c>
      <c r="M115" s="933" t="s">
        <v>368</v>
      </c>
      <c r="N115" s="933"/>
      <c r="O115" s="973" t="s">
        <v>28</v>
      </c>
      <c r="P115" s="933" t="s">
        <v>3692</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3694</v>
      </c>
      <c r="C117" s="933"/>
      <c r="D117" s="933"/>
      <c r="E117" s="933"/>
      <c r="F117" s="934"/>
      <c r="G117" s="934"/>
      <c r="H117" s="973" t="s">
        <v>28</v>
      </c>
      <c r="I117" s="933" t="s">
        <v>3695</v>
      </c>
      <c r="J117" s="933"/>
      <c r="K117" s="933"/>
      <c r="L117" s="933"/>
      <c r="M117" s="933"/>
      <c r="N117" s="973" t="s">
        <v>28</v>
      </c>
      <c r="O117" s="933" t="s">
        <v>3696</v>
      </c>
      <c r="P117" s="933"/>
      <c r="Q117" s="934"/>
      <c r="R117" s="973" t="s">
        <v>28</v>
      </c>
      <c r="S117" s="933" t="s">
        <v>3697</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3698</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3699</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3700</v>
      </c>
      <c r="C122" s="933"/>
      <c r="D122" s="933"/>
      <c r="E122" s="933"/>
      <c r="F122" s="934"/>
      <c r="G122" s="934"/>
      <c r="H122" s="973" t="s">
        <v>28</v>
      </c>
      <c r="I122" s="933" t="s">
        <v>3701</v>
      </c>
      <c r="J122" s="933"/>
      <c r="K122" s="933"/>
      <c r="L122" s="933"/>
      <c r="M122" s="973" t="s">
        <v>28</v>
      </c>
      <c r="N122" s="933" t="s">
        <v>3702</v>
      </c>
      <c r="O122" s="933"/>
      <c r="P122" s="933"/>
      <c r="Q122" s="933"/>
      <c r="R122" s="933"/>
      <c r="S122" s="973" t="s">
        <v>28</v>
      </c>
      <c r="T122" s="933" t="s">
        <v>3703</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3704</v>
      </c>
      <c r="C124" s="933"/>
      <c r="D124" s="933"/>
      <c r="E124" s="933"/>
      <c r="F124" s="934"/>
      <c r="G124" s="934"/>
      <c r="H124" s="973" t="s">
        <v>28</v>
      </c>
      <c r="I124" s="933" t="s">
        <v>3705</v>
      </c>
      <c r="J124" s="933"/>
      <c r="K124" s="933"/>
      <c r="L124" s="933"/>
      <c r="M124" s="973" t="s">
        <v>28</v>
      </c>
      <c r="N124" s="933" t="s">
        <v>3706</v>
      </c>
      <c r="O124" s="933"/>
      <c r="P124" s="933"/>
      <c r="Q124" s="933"/>
      <c r="R124" s="933"/>
      <c r="S124" s="973" t="s">
        <v>28</v>
      </c>
      <c r="T124" s="933" t="s">
        <v>3707</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640" t="s">
        <v>3708</v>
      </c>
      <c r="C126" s="1640"/>
      <c r="D126" s="1640"/>
      <c r="E126" s="1640"/>
      <c r="F126" s="933"/>
      <c r="G126" s="933"/>
      <c r="H126" s="973" t="s">
        <v>28</v>
      </c>
      <c r="I126" s="933" t="s">
        <v>3152</v>
      </c>
      <c r="J126" s="934"/>
      <c r="K126" s="933"/>
      <c r="L126" s="973" t="s">
        <v>28</v>
      </c>
      <c r="M126" s="933" t="s">
        <v>3153</v>
      </c>
      <c r="N126" s="933"/>
      <c r="O126" s="933"/>
      <c r="P126" s="973" t="s">
        <v>28</v>
      </c>
      <c r="Q126" s="1641" t="s">
        <v>3154</v>
      </c>
      <c r="R126" s="1641"/>
      <c r="S126" s="1641"/>
      <c r="T126" s="973"/>
      <c r="U126" s="1641" t="s">
        <v>3155</v>
      </c>
      <c r="V126" s="1641"/>
      <c r="W126" s="1641"/>
      <c r="X126" s="933"/>
      <c r="Y126" s="933"/>
      <c r="Z126" s="933"/>
    </row>
    <row r="127" spans="1:31" s="942" customFormat="1" ht="15" customHeight="1">
      <c r="A127" s="933"/>
      <c r="B127" s="933" t="s">
        <v>3709</v>
      </c>
      <c r="C127" s="933"/>
      <c r="D127" s="934"/>
      <c r="E127" s="934"/>
      <c r="F127" s="934"/>
      <c r="G127" s="934"/>
      <c r="H127" s="976" t="s">
        <v>401</v>
      </c>
      <c r="I127" s="1637"/>
      <c r="J127" s="1637"/>
      <c r="K127" s="960" t="s">
        <v>3710</v>
      </c>
      <c r="L127" s="976" t="s">
        <v>401</v>
      </c>
      <c r="M127" s="1637"/>
      <c r="N127" s="1637"/>
      <c r="O127" s="960" t="s">
        <v>3710</v>
      </c>
      <c r="P127" s="976" t="s">
        <v>401</v>
      </c>
      <c r="Q127" s="1637"/>
      <c r="R127" s="1637"/>
      <c r="S127" s="960" t="s">
        <v>3710</v>
      </c>
      <c r="T127" s="976" t="s">
        <v>401</v>
      </c>
      <c r="U127" s="1637"/>
      <c r="V127" s="1637"/>
      <c r="W127" s="960" t="s">
        <v>3710</v>
      </c>
      <c r="X127" s="934"/>
      <c r="Y127" s="933"/>
      <c r="Z127" s="933"/>
    </row>
    <row r="128" spans="1:31" s="942" customFormat="1" ht="15" customHeight="1">
      <c r="A128" s="933"/>
      <c r="B128" s="1632" t="s">
        <v>3711</v>
      </c>
      <c r="C128" s="1632"/>
      <c r="D128" s="1632"/>
      <c r="E128" s="1632"/>
      <c r="F128" s="1632"/>
      <c r="G128" s="1632"/>
      <c r="H128" s="976" t="s">
        <v>401</v>
      </c>
      <c r="I128" s="1633"/>
      <c r="J128" s="1633"/>
      <c r="K128" s="960" t="s">
        <v>3712</v>
      </c>
      <c r="L128" s="976" t="s">
        <v>401</v>
      </c>
      <c r="M128" s="1633"/>
      <c r="N128" s="1633"/>
      <c r="O128" s="960" t="s">
        <v>3712</v>
      </c>
      <c r="P128" s="976" t="s">
        <v>401</v>
      </c>
      <c r="Q128" s="1633"/>
      <c r="R128" s="1633"/>
      <c r="S128" s="960" t="s">
        <v>3712</v>
      </c>
      <c r="T128" s="976" t="s">
        <v>401</v>
      </c>
      <c r="U128" s="1633"/>
      <c r="V128" s="1633"/>
      <c r="W128" s="960" t="s">
        <v>3712</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634" t="s">
        <v>3156</v>
      </c>
      <c r="B163" s="1634"/>
      <c r="C163" s="1634"/>
      <c r="D163" s="1634"/>
      <c r="E163" s="1634"/>
      <c r="F163" s="1634"/>
      <c r="G163" s="1634"/>
      <c r="H163" s="1634"/>
      <c r="I163" s="1634"/>
      <c r="J163" s="1634"/>
      <c r="K163" s="1634"/>
      <c r="L163" s="1634"/>
      <c r="M163" s="1634"/>
      <c r="N163" s="1634"/>
      <c r="O163" s="1634"/>
      <c r="P163" s="1634"/>
      <c r="Q163" s="1634"/>
      <c r="R163" s="1634"/>
      <c r="S163" s="1634"/>
      <c r="T163" s="1634"/>
      <c r="U163" s="1634"/>
      <c r="V163" s="1634"/>
      <c r="W163" s="1634"/>
      <c r="X163" s="1634"/>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3665</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3718</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3713</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3714</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635"/>
      <c r="L179" s="1635"/>
      <c r="M179" s="1635"/>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636"/>
      <c r="L181" s="1636"/>
      <c r="M181" s="1636"/>
      <c r="N181" s="933" t="s">
        <v>3715</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634" t="s">
        <v>3165</v>
      </c>
      <c r="B217" s="1634"/>
      <c r="C217" s="1634"/>
      <c r="D217" s="1634"/>
      <c r="E217" s="1634"/>
      <c r="F217" s="1634"/>
      <c r="G217" s="1634"/>
      <c r="H217" s="1634"/>
      <c r="I217" s="1634"/>
      <c r="J217" s="1634"/>
      <c r="K217" s="1634"/>
      <c r="L217" s="1634"/>
      <c r="M217" s="1634"/>
      <c r="N217" s="1634"/>
      <c r="O217" s="1634"/>
      <c r="P217" s="1634"/>
      <c r="Q217" s="1634"/>
      <c r="R217" s="1634"/>
      <c r="S217" s="1634"/>
      <c r="T217" s="1634"/>
      <c r="U217" s="1634"/>
      <c r="V217" s="1634"/>
      <c r="W217" s="1634"/>
      <c r="X217" s="1634"/>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631" t="str">
        <f>cst_wskakunin_owner2__space</f>
        <v/>
      </c>
      <c r="H220" s="1631"/>
      <c r="I220" s="1631"/>
      <c r="J220" s="1631"/>
      <c r="K220" s="1631"/>
      <c r="L220" s="1631"/>
      <c r="M220" s="1631"/>
      <c r="N220" s="1631"/>
      <c r="O220" s="1631"/>
      <c r="P220" s="1631"/>
      <c r="Q220" s="1631"/>
      <c r="R220" s="1631"/>
      <c r="S220" s="1631"/>
      <c r="T220" s="1631"/>
      <c r="U220" s="1631"/>
      <c r="V220" s="1631"/>
      <c r="W220" s="1631"/>
      <c r="X220" s="948"/>
      <c r="Y220" s="950" t="str">
        <f>HYPERLINK("#A55：X108")</f>
        <v>#A55：X108</v>
      </c>
      <c r="Z220" s="953" t="s">
        <v>3665</v>
      </c>
      <c r="AA220" s="954"/>
      <c r="AB220" s="955"/>
      <c r="AC220" s="955"/>
      <c r="AD220" s="955"/>
      <c r="AE220" s="955"/>
    </row>
    <row r="221" spans="1:34" s="942" customFormat="1" ht="15" customHeight="1">
      <c r="A221" s="933"/>
      <c r="B221" s="933"/>
      <c r="C221" s="933"/>
      <c r="D221" s="933"/>
      <c r="E221" s="933"/>
      <c r="F221" s="933"/>
      <c r="G221" s="1631"/>
      <c r="H221" s="1631"/>
      <c r="I221" s="1631"/>
      <c r="J221" s="1631"/>
      <c r="K221" s="1631"/>
      <c r="L221" s="1631"/>
      <c r="M221" s="1631"/>
      <c r="N221" s="1631"/>
      <c r="O221" s="1631"/>
      <c r="P221" s="1631"/>
      <c r="Q221" s="1631"/>
      <c r="R221" s="1631"/>
      <c r="S221" s="1631"/>
      <c r="T221" s="1631"/>
      <c r="U221" s="1631"/>
      <c r="V221" s="1631"/>
      <c r="W221" s="1631"/>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630" t="str">
        <f>cst_wskakunin_owner2_ZIP</f>
        <v/>
      </c>
      <c r="I222" s="1630"/>
      <c r="J222" s="1630"/>
      <c r="K222" s="1630"/>
      <c r="L222" s="1630"/>
      <c r="M222" s="1630"/>
      <c r="N222" s="1630"/>
      <c r="O222" s="1630"/>
      <c r="P222" s="1630"/>
      <c r="Q222" s="1630"/>
      <c r="R222" s="1630"/>
      <c r="S222" s="1630"/>
      <c r="T222" s="1630"/>
      <c r="U222" s="1630"/>
      <c r="V222" s="1630"/>
      <c r="W222" s="1630"/>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631" t="str">
        <f>cst_wskakunin_owner2__address</f>
        <v/>
      </c>
      <c r="H223" s="1631"/>
      <c r="I223" s="1631"/>
      <c r="J223" s="1631"/>
      <c r="K223" s="1631"/>
      <c r="L223" s="1631"/>
      <c r="M223" s="1631"/>
      <c r="N223" s="1631"/>
      <c r="O223" s="1631"/>
      <c r="P223" s="1631"/>
      <c r="Q223" s="1631"/>
      <c r="R223" s="1631"/>
      <c r="S223" s="1631"/>
      <c r="T223" s="1631"/>
      <c r="U223" s="1631"/>
      <c r="V223" s="1631"/>
      <c r="W223" s="1631"/>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631"/>
      <c r="H224" s="1631"/>
      <c r="I224" s="1631"/>
      <c r="J224" s="1631"/>
      <c r="K224" s="1631"/>
      <c r="L224" s="1631"/>
      <c r="M224" s="1631"/>
      <c r="N224" s="1631"/>
      <c r="O224" s="1631"/>
      <c r="P224" s="1631"/>
      <c r="Q224" s="1631"/>
      <c r="R224" s="1631"/>
      <c r="S224" s="1631"/>
      <c r="T224" s="1631"/>
      <c r="U224" s="1631"/>
      <c r="V224" s="1631"/>
      <c r="W224" s="1631"/>
      <c r="X224" s="948"/>
    </row>
    <row r="225" spans="1:27" s="934" customFormat="1" ht="15" customHeight="1">
      <c r="A225" s="933"/>
      <c r="B225" s="933" t="s">
        <v>22</v>
      </c>
      <c r="C225" s="933"/>
      <c r="D225" s="933"/>
      <c r="E225" s="933"/>
      <c r="F225" s="933"/>
      <c r="G225" s="1630" t="str">
        <f>cst_wskakunin_owner2_TEL</f>
        <v/>
      </c>
      <c r="H225" s="1630"/>
      <c r="I225" s="1630"/>
      <c r="J225" s="1630"/>
      <c r="K225" s="1630"/>
      <c r="L225" s="1630"/>
      <c r="M225" s="1630"/>
      <c r="N225" s="1630"/>
      <c r="O225" s="1630"/>
      <c r="P225" s="1630"/>
      <c r="Q225" s="1630"/>
      <c r="R225" s="1630"/>
      <c r="S225" s="1630"/>
      <c r="T225" s="1630"/>
      <c r="U225" s="1630"/>
      <c r="V225" s="1630"/>
      <c r="W225" s="1630"/>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631" t="str">
        <f>cst_wskakunin_owner3__space</f>
        <v/>
      </c>
      <c r="H228" s="1631"/>
      <c r="I228" s="1631"/>
      <c r="J228" s="1631"/>
      <c r="K228" s="1631"/>
      <c r="L228" s="1631"/>
      <c r="M228" s="1631"/>
      <c r="N228" s="1631"/>
      <c r="O228" s="1631"/>
      <c r="P228" s="1631"/>
      <c r="Q228" s="1631"/>
      <c r="R228" s="1631"/>
      <c r="S228" s="1631"/>
      <c r="T228" s="1631"/>
      <c r="U228" s="1631"/>
      <c r="V228" s="1631"/>
      <c r="W228" s="1631"/>
      <c r="X228" s="948"/>
      <c r="Z228" s="933"/>
      <c r="AA228" s="933"/>
    </row>
    <row r="229" spans="1:27" s="934" customFormat="1" ht="15" customHeight="1">
      <c r="A229" s="933"/>
      <c r="B229" s="933"/>
      <c r="C229" s="933"/>
      <c r="D229" s="933"/>
      <c r="E229" s="933"/>
      <c r="F229" s="933"/>
      <c r="G229" s="1631"/>
      <c r="H229" s="1631"/>
      <c r="I229" s="1631"/>
      <c r="J229" s="1631"/>
      <c r="K229" s="1631"/>
      <c r="L229" s="1631"/>
      <c r="M229" s="1631"/>
      <c r="N229" s="1631"/>
      <c r="O229" s="1631"/>
      <c r="P229" s="1631"/>
      <c r="Q229" s="1631"/>
      <c r="R229" s="1631"/>
      <c r="S229" s="1631"/>
      <c r="T229" s="1631"/>
      <c r="U229" s="1631"/>
      <c r="V229" s="1631"/>
      <c r="W229" s="1631"/>
      <c r="X229" s="948"/>
      <c r="Z229" s="933"/>
      <c r="AA229" s="933"/>
    </row>
    <row r="230" spans="1:27" s="934" customFormat="1" ht="15" customHeight="1">
      <c r="A230" s="933"/>
      <c r="B230" s="933" t="s">
        <v>20</v>
      </c>
      <c r="C230" s="933"/>
      <c r="D230" s="933"/>
      <c r="E230" s="933"/>
      <c r="F230" s="933"/>
      <c r="G230" s="952" t="s">
        <v>2429</v>
      </c>
      <c r="H230" s="1630" t="str">
        <f>cst_wskakunin_owner3_ZIP</f>
        <v/>
      </c>
      <c r="I230" s="1630"/>
      <c r="J230" s="1630"/>
      <c r="K230" s="1630"/>
      <c r="L230" s="1630"/>
      <c r="M230" s="1630"/>
      <c r="N230" s="1630"/>
      <c r="O230" s="1630"/>
      <c r="P230" s="1630"/>
      <c r="Q230" s="1630"/>
      <c r="R230" s="1630"/>
      <c r="S230" s="1630"/>
      <c r="T230" s="1630"/>
      <c r="U230" s="1630"/>
      <c r="V230" s="1630"/>
      <c r="W230" s="1630"/>
      <c r="X230" s="933"/>
      <c r="Z230" s="933"/>
      <c r="AA230" s="933"/>
    </row>
    <row r="231" spans="1:27" s="934" customFormat="1" ht="15" customHeight="1">
      <c r="A231" s="933"/>
      <c r="B231" s="933" t="s">
        <v>21</v>
      </c>
      <c r="C231" s="933"/>
      <c r="D231" s="933"/>
      <c r="E231" s="933"/>
      <c r="F231" s="933"/>
      <c r="G231" s="1631" t="str">
        <f>cst_wskakunin_owner3__address</f>
        <v/>
      </c>
      <c r="H231" s="1631"/>
      <c r="I231" s="1631"/>
      <c r="J231" s="1631"/>
      <c r="K231" s="1631"/>
      <c r="L231" s="1631"/>
      <c r="M231" s="1631"/>
      <c r="N231" s="1631"/>
      <c r="O231" s="1631"/>
      <c r="P231" s="1631"/>
      <c r="Q231" s="1631"/>
      <c r="R231" s="1631"/>
      <c r="S231" s="1631"/>
      <c r="T231" s="1631"/>
      <c r="U231" s="1631"/>
      <c r="V231" s="1631"/>
      <c r="W231" s="1631"/>
      <c r="X231" s="948"/>
      <c r="Z231" s="933"/>
      <c r="AA231" s="933"/>
    </row>
    <row r="232" spans="1:27" s="934" customFormat="1" ht="15" customHeight="1">
      <c r="A232" s="933"/>
      <c r="B232" s="933"/>
      <c r="C232" s="933"/>
      <c r="D232" s="933"/>
      <c r="E232" s="933"/>
      <c r="F232" s="933"/>
      <c r="G232" s="1631"/>
      <c r="H232" s="1631"/>
      <c r="I232" s="1631"/>
      <c r="J232" s="1631"/>
      <c r="K232" s="1631"/>
      <c r="L232" s="1631"/>
      <c r="M232" s="1631"/>
      <c r="N232" s="1631"/>
      <c r="O232" s="1631"/>
      <c r="P232" s="1631"/>
      <c r="Q232" s="1631"/>
      <c r="R232" s="1631"/>
      <c r="S232" s="1631"/>
      <c r="T232" s="1631"/>
      <c r="U232" s="1631"/>
      <c r="V232" s="1631"/>
      <c r="W232" s="1631"/>
      <c r="X232" s="948"/>
      <c r="Z232" s="933"/>
      <c r="AA232" s="933"/>
    </row>
    <row r="233" spans="1:27" s="934" customFormat="1" ht="15" customHeight="1">
      <c r="A233" s="933"/>
      <c r="B233" s="933" t="s">
        <v>22</v>
      </c>
      <c r="C233" s="933"/>
      <c r="D233" s="933"/>
      <c r="E233" s="933"/>
      <c r="F233" s="933"/>
      <c r="G233" s="1630" t="str">
        <f>cst_wskakunin_owner3_TEL</f>
        <v/>
      </c>
      <c r="H233" s="1630"/>
      <c r="I233" s="1630"/>
      <c r="J233" s="1630"/>
      <c r="K233" s="1630"/>
      <c r="L233" s="1630"/>
      <c r="M233" s="1630"/>
      <c r="N233" s="1630"/>
      <c r="O233" s="1630"/>
      <c r="P233" s="1630"/>
      <c r="Q233" s="1630"/>
      <c r="R233" s="1630"/>
      <c r="S233" s="1630"/>
      <c r="T233" s="1630"/>
      <c r="U233" s="1630"/>
      <c r="V233" s="1630"/>
      <c r="W233" s="1630"/>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631" t="str">
        <f>cst_wskakunin_owner4__space</f>
        <v/>
      </c>
      <c r="H236" s="1631"/>
      <c r="I236" s="1631"/>
      <c r="J236" s="1631"/>
      <c r="K236" s="1631"/>
      <c r="L236" s="1631"/>
      <c r="M236" s="1631"/>
      <c r="N236" s="1631"/>
      <c r="O236" s="1631"/>
      <c r="P236" s="1631"/>
      <c r="Q236" s="1631"/>
      <c r="R236" s="1631"/>
      <c r="S236" s="1631"/>
      <c r="T236" s="1631"/>
      <c r="U236" s="1631"/>
      <c r="V236" s="1631"/>
      <c r="W236" s="1631"/>
      <c r="X236" s="948"/>
      <c r="Z236" s="933"/>
      <c r="AA236" s="933"/>
    </row>
    <row r="237" spans="1:27" s="934" customFormat="1" ht="15" customHeight="1">
      <c r="A237" s="933"/>
      <c r="B237" s="933"/>
      <c r="C237" s="933"/>
      <c r="D237" s="933"/>
      <c r="E237" s="933"/>
      <c r="F237" s="933"/>
      <c r="G237" s="1631"/>
      <c r="H237" s="1631"/>
      <c r="I237" s="1631"/>
      <c r="J237" s="1631"/>
      <c r="K237" s="1631"/>
      <c r="L237" s="1631"/>
      <c r="M237" s="1631"/>
      <c r="N237" s="1631"/>
      <c r="O237" s="1631"/>
      <c r="P237" s="1631"/>
      <c r="Q237" s="1631"/>
      <c r="R237" s="1631"/>
      <c r="S237" s="1631"/>
      <c r="T237" s="1631"/>
      <c r="U237" s="1631"/>
      <c r="V237" s="1631"/>
      <c r="W237" s="1631"/>
      <c r="X237" s="948"/>
      <c r="Z237" s="933"/>
      <c r="AA237" s="933"/>
    </row>
    <row r="238" spans="1:27" s="934" customFormat="1" ht="15" customHeight="1">
      <c r="A238" s="933"/>
      <c r="B238" s="933" t="s">
        <v>20</v>
      </c>
      <c r="C238" s="933"/>
      <c r="D238" s="933"/>
      <c r="E238" s="933"/>
      <c r="F238" s="933"/>
      <c r="G238" s="952" t="s">
        <v>2429</v>
      </c>
      <c r="H238" s="1630" t="str">
        <f>cst_wskakunin_owner4_ZIP</f>
        <v/>
      </c>
      <c r="I238" s="1630"/>
      <c r="J238" s="1630"/>
      <c r="K238" s="1630"/>
      <c r="L238" s="1630"/>
      <c r="M238" s="1630"/>
      <c r="N238" s="1630"/>
      <c r="O238" s="1630"/>
      <c r="P238" s="1630"/>
      <c r="Q238" s="1630"/>
      <c r="R238" s="1630"/>
      <c r="S238" s="1630"/>
      <c r="T238" s="1630"/>
      <c r="U238" s="1630"/>
      <c r="V238" s="1630"/>
      <c r="W238" s="1630"/>
      <c r="X238" s="933"/>
      <c r="Z238" s="933"/>
      <c r="AA238" s="933"/>
    </row>
    <row r="239" spans="1:27" s="934" customFormat="1" ht="15" customHeight="1">
      <c r="A239" s="933"/>
      <c r="B239" s="933" t="s">
        <v>21</v>
      </c>
      <c r="C239" s="933"/>
      <c r="D239" s="933"/>
      <c r="E239" s="933"/>
      <c r="F239" s="933"/>
      <c r="G239" s="1631" t="str">
        <f>cst_wskakunin_owner4__address</f>
        <v/>
      </c>
      <c r="H239" s="1631"/>
      <c r="I239" s="1631"/>
      <c r="J239" s="1631"/>
      <c r="K239" s="1631"/>
      <c r="L239" s="1631"/>
      <c r="M239" s="1631"/>
      <c r="N239" s="1631"/>
      <c r="O239" s="1631"/>
      <c r="P239" s="1631"/>
      <c r="Q239" s="1631"/>
      <c r="R239" s="1631"/>
      <c r="S239" s="1631"/>
      <c r="T239" s="1631"/>
      <c r="U239" s="1631"/>
      <c r="V239" s="1631"/>
      <c r="W239" s="1631"/>
      <c r="X239" s="948"/>
      <c r="Z239" s="933"/>
      <c r="AA239" s="933"/>
    </row>
    <row r="240" spans="1:27" s="934" customFormat="1" ht="15" customHeight="1">
      <c r="A240" s="933"/>
      <c r="B240" s="933"/>
      <c r="C240" s="933"/>
      <c r="D240" s="933"/>
      <c r="E240" s="933"/>
      <c r="F240" s="933"/>
      <c r="G240" s="1631"/>
      <c r="H240" s="1631"/>
      <c r="I240" s="1631"/>
      <c r="J240" s="1631"/>
      <c r="K240" s="1631"/>
      <c r="L240" s="1631"/>
      <c r="M240" s="1631"/>
      <c r="N240" s="1631"/>
      <c r="O240" s="1631"/>
      <c r="P240" s="1631"/>
      <c r="Q240" s="1631"/>
      <c r="R240" s="1631"/>
      <c r="S240" s="1631"/>
      <c r="T240" s="1631"/>
      <c r="U240" s="1631"/>
      <c r="V240" s="1631"/>
      <c r="W240" s="1631"/>
      <c r="X240" s="948"/>
      <c r="Z240" s="933"/>
      <c r="AA240" s="933"/>
    </row>
    <row r="241" spans="1:27" s="934" customFormat="1" ht="15" customHeight="1">
      <c r="A241" s="933"/>
      <c r="B241" s="933" t="s">
        <v>22</v>
      </c>
      <c r="C241" s="933"/>
      <c r="D241" s="933"/>
      <c r="E241" s="933"/>
      <c r="F241" s="933"/>
      <c r="G241" s="1630" t="str">
        <f>cst_wskakunin_owner4_TEL</f>
        <v/>
      </c>
      <c r="H241" s="1630"/>
      <c r="I241" s="1630"/>
      <c r="J241" s="1630"/>
      <c r="K241" s="1630"/>
      <c r="L241" s="1630"/>
      <c r="M241" s="1630"/>
      <c r="N241" s="1630"/>
      <c r="O241" s="1630"/>
      <c r="P241" s="1630"/>
      <c r="Q241" s="1630"/>
      <c r="R241" s="1630"/>
      <c r="S241" s="1630"/>
      <c r="T241" s="1630"/>
      <c r="U241" s="1630"/>
      <c r="V241" s="1630"/>
      <c r="W241" s="1630"/>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G23:W24"/>
    <mergeCell ref="A3:X3"/>
    <mergeCell ref="A4:X5"/>
    <mergeCell ref="A6:X6"/>
    <mergeCell ref="Q8:W8"/>
    <mergeCell ref="G12:W13"/>
    <mergeCell ref="H14:W14"/>
    <mergeCell ref="G15:W16"/>
    <mergeCell ref="G17:W17"/>
    <mergeCell ref="G19:W19"/>
    <mergeCell ref="G20:W21"/>
    <mergeCell ref="H22:W22"/>
    <mergeCell ref="G43:W44"/>
    <mergeCell ref="G25:W25"/>
    <mergeCell ref="G27:W27"/>
    <mergeCell ref="G28:W29"/>
    <mergeCell ref="H30:W30"/>
    <mergeCell ref="G31:W32"/>
    <mergeCell ref="G33:W33"/>
    <mergeCell ref="I35:P35"/>
    <mergeCell ref="I36:P36"/>
    <mergeCell ref="G40:W40"/>
    <mergeCell ref="G41:W41"/>
    <mergeCell ref="H42:W42"/>
    <mergeCell ref="G45:W45"/>
    <mergeCell ref="A55:X55"/>
    <mergeCell ref="I57:M57"/>
    <mergeCell ref="I58:M58"/>
    <mergeCell ref="J61:K61"/>
    <mergeCell ref="M61:P61"/>
    <mergeCell ref="R61:T61"/>
    <mergeCell ref="J62:K62"/>
    <mergeCell ref="M62:P62"/>
    <mergeCell ref="R62:T62"/>
    <mergeCell ref="F68:W70"/>
    <mergeCell ref="H82:J82"/>
    <mergeCell ref="N82:P82"/>
    <mergeCell ref="T82:V82"/>
    <mergeCell ref="B92:F92"/>
    <mergeCell ref="H93:L93"/>
    <mergeCell ref="N93:R93"/>
    <mergeCell ref="T93:X93"/>
    <mergeCell ref="H96:L96"/>
    <mergeCell ref="N96:R96"/>
    <mergeCell ref="T96:X96"/>
    <mergeCell ref="H98:I98"/>
    <mergeCell ref="N98:O98"/>
    <mergeCell ref="T98:U98"/>
    <mergeCell ref="H100:J100"/>
    <mergeCell ref="N100:P100"/>
    <mergeCell ref="T100:V100"/>
    <mergeCell ref="H101:I101"/>
    <mergeCell ref="N101:O101"/>
    <mergeCell ref="T101:U101"/>
    <mergeCell ref="H103:I103"/>
    <mergeCell ref="N103:O103"/>
    <mergeCell ref="T103:U103"/>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G223:W224"/>
    <mergeCell ref="B128:G128"/>
    <mergeCell ref="I128:J128"/>
    <mergeCell ref="M128:N128"/>
    <mergeCell ref="Q128:R128"/>
    <mergeCell ref="U128:V128"/>
    <mergeCell ref="A163:X163"/>
    <mergeCell ref="K179:M179"/>
    <mergeCell ref="K181:M181"/>
    <mergeCell ref="A217:X217"/>
    <mergeCell ref="G220:W221"/>
    <mergeCell ref="H222:W222"/>
    <mergeCell ref="H238:W238"/>
    <mergeCell ref="G239:W240"/>
    <mergeCell ref="G241:W241"/>
    <mergeCell ref="G225:W225"/>
    <mergeCell ref="G228:W229"/>
    <mergeCell ref="H230:W230"/>
    <mergeCell ref="G231:W232"/>
    <mergeCell ref="G233:W233"/>
    <mergeCell ref="G236:W237"/>
  </mergeCells>
  <phoneticPr fontId="139"/>
  <dataValidations count="2">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400-000000000000}">
      <formula1>"　,01,02,03,04,05"</formula1>
    </dataValidation>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400-000001000000}">
      <formula1>"　,1,2,3"</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prompt="選択" xr:uid="{5C3737A0-2A53-4161-AC0A-79B2B892B8E3}">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 allowBlank="1" showInputMessage="1" showErrorMessage="1" xr:uid="{BBF76696-948D-4C2B-858A-EE175DAC453D}">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2065187536243"/>
    <pageSetUpPr fitToPage="1"/>
  </sheetPr>
  <dimension ref="A1:AP324"/>
  <sheetViews>
    <sheetView zoomScaleNormal="100" workbookViewId="0"/>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3663</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634" t="s">
        <v>3090</v>
      </c>
      <c r="B3" s="1634"/>
      <c r="C3" s="1634"/>
      <c r="D3" s="1634"/>
      <c r="E3" s="1634"/>
      <c r="F3" s="1634"/>
      <c r="G3" s="1634"/>
      <c r="H3" s="1634"/>
      <c r="I3" s="1634"/>
      <c r="J3" s="1634"/>
      <c r="K3" s="1634"/>
      <c r="L3" s="1634"/>
      <c r="M3" s="1634"/>
      <c r="N3" s="1634"/>
      <c r="O3" s="1634"/>
      <c r="P3" s="1634"/>
      <c r="Q3" s="1634"/>
      <c r="R3" s="1634"/>
      <c r="S3" s="1634"/>
      <c r="T3" s="1634"/>
      <c r="U3" s="1634"/>
      <c r="V3" s="1634"/>
      <c r="W3" s="1634"/>
      <c r="X3" s="1634"/>
      <c r="Z3" s="936"/>
      <c r="AA3" s="937"/>
    </row>
    <row r="4" spans="1:42" s="935" customFormat="1" ht="15" customHeight="1">
      <c r="A4" s="1652" t="s">
        <v>13</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Z4" s="936"/>
      <c r="AA4" s="938"/>
      <c r="AH4" s="934"/>
      <c r="AI4" s="939"/>
      <c r="AJ4" s="934"/>
      <c r="AK4" s="934"/>
      <c r="AL4" s="934"/>
      <c r="AM4" s="934"/>
      <c r="AN4" s="934"/>
      <c r="AO4" s="934"/>
      <c r="AP4" s="934"/>
    </row>
    <row r="5" spans="1:42" s="935" customFormat="1" ht="15" customHeight="1">
      <c r="A5" s="1652"/>
      <c r="B5" s="1652"/>
      <c r="C5" s="1652"/>
      <c r="D5" s="1652"/>
      <c r="E5" s="1652"/>
      <c r="F5" s="1652"/>
      <c r="G5" s="1652"/>
      <c r="H5" s="1652"/>
      <c r="I5" s="1652"/>
      <c r="J5" s="1652"/>
      <c r="K5" s="1652"/>
      <c r="L5" s="1652"/>
      <c r="M5" s="1652"/>
      <c r="N5" s="1652"/>
      <c r="O5" s="1652"/>
      <c r="P5" s="1652"/>
      <c r="Q5" s="1652"/>
      <c r="R5" s="1652"/>
      <c r="S5" s="1652"/>
      <c r="T5" s="1652"/>
      <c r="U5" s="1652"/>
      <c r="V5" s="1652"/>
      <c r="W5" s="1652"/>
      <c r="X5" s="1652"/>
      <c r="Z5" s="936"/>
      <c r="AA5" s="938"/>
      <c r="AH5" s="940"/>
      <c r="AI5" s="941"/>
      <c r="AJ5" s="941"/>
      <c r="AK5" s="941"/>
      <c r="AL5" s="941"/>
      <c r="AM5" s="941"/>
      <c r="AN5" s="941"/>
      <c r="AO5" s="941"/>
      <c r="AP5" s="941"/>
    </row>
    <row r="6" spans="1:42" s="935" customFormat="1" ht="15" customHeight="1">
      <c r="A6" s="1634" t="s">
        <v>3091</v>
      </c>
      <c r="B6" s="1634"/>
      <c r="C6" s="1634"/>
      <c r="D6" s="1634"/>
      <c r="E6" s="1634"/>
      <c r="F6" s="1634"/>
      <c r="G6" s="1634"/>
      <c r="H6" s="1634"/>
      <c r="I6" s="1634"/>
      <c r="J6" s="1634"/>
      <c r="K6" s="1634"/>
      <c r="L6" s="1634"/>
      <c r="M6" s="1634"/>
      <c r="N6" s="1634"/>
      <c r="O6" s="1634"/>
      <c r="P6" s="1634"/>
      <c r="Q6" s="1634"/>
      <c r="R6" s="1634"/>
      <c r="S6" s="1634"/>
      <c r="T6" s="1634"/>
      <c r="U6" s="1634"/>
      <c r="V6" s="1634"/>
      <c r="W6" s="1634"/>
      <c r="X6" s="1634"/>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653" t="s">
        <v>3664</v>
      </c>
      <c r="R8" s="1653"/>
      <c r="S8" s="1653"/>
      <c r="T8" s="1653"/>
      <c r="U8" s="1653"/>
      <c r="V8" s="1653"/>
      <c r="W8" s="1653"/>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645" t="str">
        <f>cst_wskakunin_owner1__space</f>
        <v/>
      </c>
      <c r="H12" s="1645"/>
      <c r="I12" s="1645"/>
      <c r="J12" s="1645"/>
      <c r="K12" s="1645"/>
      <c r="L12" s="1645"/>
      <c r="M12" s="1645"/>
      <c r="N12" s="1645"/>
      <c r="O12" s="1645"/>
      <c r="P12" s="1645"/>
      <c r="Q12" s="1645"/>
      <c r="R12" s="1645"/>
      <c r="S12" s="1645"/>
      <c r="T12" s="1645"/>
      <c r="U12" s="1645"/>
      <c r="V12" s="1645"/>
      <c r="W12" s="1645"/>
      <c r="X12" s="948"/>
      <c r="Y12" s="949" t="s">
        <v>2845</v>
      </c>
      <c r="Z12" s="936"/>
      <c r="AA12" s="944"/>
      <c r="AB12" s="935"/>
      <c r="AC12" s="935"/>
      <c r="AD12" s="935"/>
      <c r="AE12" s="935"/>
    </row>
    <row r="13" spans="1:42" s="934" customFormat="1" ht="15" customHeight="1">
      <c r="A13" s="933"/>
      <c r="B13" s="933"/>
      <c r="C13" s="933"/>
      <c r="D13" s="933"/>
      <c r="E13" s="933"/>
      <c r="F13" s="933"/>
      <c r="G13" s="1645"/>
      <c r="H13" s="1645"/>
      <c r="I13" s="1645"/>
      <c r="J13" s="1645"/>
      <c r="K13" s="1645"/>
      <c r="L13" s="1645"/>
      <c r="M13" s="1645"/>
      <c r="N13" s="1645"/>
      <c r="O13" s="1645"/>
      <c r="P13" s="1645"/>
      <c r="Q13" s="1645"/>
      <c r="R13" s="1645"/>
      <c r="S13" s="1645"/>
      <c r="T13" s="1645"/>
      <c r="U13" s="1645"/>
      <c r="V13" s="1645"/>
      <c r="W13" s="1645"/>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650" t="str">
        <f>cst_wskakunin_owner1_ZIP</f>
        <v/>
      </c>
      <c r="I14" s="1650"/>
      <c r="J14" s="1650"/>
      <c r="K14" s="1650"/>
      <c r="L14" s="1650"/>
      <c r="M14" s="1650"/>
      <c r="N14" s="1650"/>
      <c r="O14" s="1650"/>
      <c r="P14" s="1650"/>
      <c r="Q14" s="1650"/>
      <c r="R14" s="1650"/>
      <c r="S14" s="1650"/>
      <c r="T14" s="1650"/>
      <c r="U14" s="1650"/>
      <c r="V14" s="1650"/>
      <c r="W14" s="1650"/>
      <c r="X14" s="933"/>
      <c r="Y14" s="950" t="str">
        <f>HYPERLINK("#A55：X108")</f>
        <v>#A55：X108</v>
      </c>
      <c r="Z14" s="953" t="s">
        <v>3665</v>
      </c>
      <c r="AA14" s="954"/>
      <c r="AB14" s="955"/>
      <c r="AC14" s="955"/>
      <c r="AD14" s="955"/>
      <c r="AE14" s="955"/>
    </row>
    <row r="15" spans="1:42" s="934" customFormat="1" ht="15" customHeight="1">
      <c r="A15" s="933"/>
      <c r="B15" s="933" t="s">
        <v>21</v>
      </c>
      <c r="C15" s="933"/>
      <c r="D15" s="933"/>
      <c r="E15" s="933"/>
      <c r="F15" s="933"/>
      <c r="G15" s="1645" t="str">
        <f>cst_wskakunin_owner1__address</f>
        <v/>
      </c>
      <c r="H15" s="1645"/>
      <c r="I15" s="1645"/>
      <c r="J15" s="1645"/>
      <c r="K15" s="1645"/>
      <c r="L15" s="1645"/>
      <c r="M15" s="1645"/>
      <c r="N15" s="1645"/>
      <c r="O15" s="1645"/>
      <c r="P15" s="1645"/>
      <c r="Q15" s="1645"/>
      <c r="R15" s="1645"/>
      <c r="S15" s="1645"/>
      <c r="T15" s="1645"/>
      <c r="U15" s="1645"/>
      <c r="V15" s="1645"/>
      <c r="W15" s="1645"/>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645"/>
      <c r="H16" s="1645"/>
      <c r="I16" s="1645"/>
      <c r="J16" s="1645"/>
      <c r="K16" s="1645"/>
      <c r="L16" s="1645"/>
      <c r="M16" s="1645"/>
      <c r="N16" s="1645"/>
      <c r="O16" s="1645"/>
      <c r="P16" s="1645"/>
      <c r="Q16" s="1645"/>
      <c r="R16" s="1645"/>
      <c r="S16" s="1645"/>
      <c r="T16" s="1645"/>
      <c r="U16" s="1645"/>
      <c r="V16" s="1645"/>
      <c r="W16" s="1645"/>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650" t="str">
        <f>cst_wskakunin_owner1_TEL</f>
        <v/>
      </c>
      <c r="H17" s="1650"/>
      <c r="I17" s="1650"/>
      <c r="J17" s="1650"/>
      <c r="K17" s="1650"/>
      <c r="L17" s="1650"/>
      <c r="M17" s="1650"/>
      <c r="N17" s="1650"/>
      <c r="O17" s="1650"/>
      <c r="P17" s="1650"/>
      <c r="Q17" s="1650"/>
      <c r="R17" s="1650"/>
      <c r="S17" s="1650"/>
      <c r="T17" s="1650"/>
      <c r="U17" s="1650"/>
      <c r="V17" s="1650"/>
      <c r="W17" s="1650"/>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645" t="str">
        <f>IF(cst_wskakunin_sekou1_JIMU_NAME="",cst_wskakunin_sekkei1_NAME,cst_wskakunin_sekou1_NAME)</f>
        <v/>
      </c>
      <c r="H19" s="1645"/>
      <c r="I19" s="1645"/>
      <c r="J19" s="1645"/>
      <c r="K19" s="1645"/>
      <c r="L19" s="1645"/>
      <c r="M19" s="1645"/>
      <c r="N19" s="1645"/>
      <c r="O19" s="1645"/>
      <c r="P19" s="1645"/>
      <c r="Q19" s="1645"/>
      <c r="R19" s="1645"/>
      <c r="S19" s="1645"/>
      <c r="T19" s="1645"/>
      <c r="U19" s="1645"/>
      <c r="V19" s="1645"/>
      <c r="W19" s="1645"/>
      <c r="X19" s="933"/>
      <c r="Z19" s="933"/>
      <c r="AA19" s="933"/>
    </row>
    <row r="20" spans="1:31" s="942" customFormat="1" ht="15" customHeight="1">
      <c r="A20" s="933"/>
      <c r="B20" s="933" t="s">
        <v>37</v>
      </c>
      <c r="C20" s="933"/>
      <c r="D20" s="933"/>
      <c r="E20" s="933"/>
      <c r="F20" s="933"/>
      <c r="G20" s="1645" t="str">
        <f>IF(cst_wskakunin_sekou1_JIMU_NAME="",cst_wskakunin_sekkei1_JIMU_NAME,cst_wskakunin_sekou1_JIMU_NAME)</f>
        <v/>
      </c>
      <c r="H20" s="1645"/>
      <c r="I20" s="1645"/>
      <c r="J20" s="1645"/>
      <c r="K20" s="1645"/>
      <c r="L20" s="1645"/>
      <c r="M20" s="1645"/>
      <c r="N20" s="1645"/>
      <c r="O20" s="1645"/>
      <c r="P20" s="1645"/>
      <c r="Q20" s="1645"/>
      <c r="R20" s="1645"/>
      <c r="S20" s="1645"/>
      <c r="T20" s="1645"/>
      <c r="U20" s="1645"/>
      <c r="V20" s="1645"/>
      <c r="W20" s="1645"/>
      <c r="X20" s="958"/>
      <c r="Z20" s="933"/>
      <c r="AA20" s="958"/>
    </row>
    <row r="21" spans="1:31" s="942" customFormat="1" ht="15" customHeight="1">
      <c r="A21" s="933"/>
      <c r="B21" s="933" t="s">
        <v>3099</v>
      </c>
      <c r="C21" s="933"/>
      <c r="D21" s="933"/>
      <c r="E21" s="933"/>
      <c r="F21" s="933"/>
      <c r="G21" s="1645"/>
      <c r="H21" s="1645"/>
      <c r="I21" s="1645"/>
      <c r="J21" s="1645"/>
      <c r="K21" s="1645"/>
      <c r="L21" s="1645"/>
      <c r="M21" s="1645"/>
      <c r="N21" s="1645"/>
      <c r="O21" s="1645"/>
      <c r="P21" s="1645"/>
      <c r="Q21" s="1645"/>
      <c r="R21" s="1645"/>
      <c r="S21" s="1645"/>
      <c r="T21" s="1645"/>
      <c r="U21" s="1645"/>
      <c r="V21" s="1645"/>
      <c r="W21" s="1645"/>
      <c r="X21" s="958"/>
      <c r="Z21" s="933"/>
      <c r="AA21" s="958"/>
    </row>
    <row r="22" spans="1:31" s="942" customFormat="1" ht="15" customHeight="1">
      <c r="A22" s="933"/>
      <c r="B22" s="933" t="s">
        <v>20</v>
      </c>
      <c r="C22" s="933"/>
      <c r="D22" s="933"/>
      <c r="E22" s="933"/>
      <c r="F22" s="933"/>
      <c r="G22" s="952" t="s">
        <v>2429</v>
      </c>
      <c r="H22" s="1650" t="str">
        <f>IF(cst_wskakunin_sekou1_JIMU_NAME="",cst_wskakunin_sekkei1_ZIP,cst_wskakunin_sekou1_ZIP)</f>
        <v/>
      </c>
      <c r="I22" s="1650"/>
      <c r="J22" s="1650"/>
      <c r="K22" s="1650"/>
      <c r="L22" s="1650"/>
      <c r="M22" s="1650"/>
      <c r="N22" s="1650"/>
      <c r="O22" s="1650"/>
      <c r="P22" s="1650"/>
      <c r="Q22" s="1650"/>
      <c r="R22" s="1650"/>
      <c r="S22" s="1650"/>
      <c r="T22" s="1650"/>
      <c r="U22" s="1650"/>
      <c r="V22" s="1650"/>
      <c r="W22" s="1650"/>
      <c r="Z22" s="933"/>
    </row>
    <row r="23" spans="1:31" s="942" customFormat="1" ht="15" customHeight="1">
      <c r="A23" s="933"/>
      <c r="B23" s="933" t="s">
        <v>25</v>
      </c>
      <c r="C23" s="933"/>
      <c r="D23" s="933"/>
      <c r="E23" s="933"/>
      <c r="F23" s="933"/>
      <c r="G23" s="1645" t="str">
        <f>IF(cst_wskakunin_sekou1_JIMU_NAME="",cst_wskakunin_sekkei1__address,cst_wskakunin_sekou1__address)</f>
        <v/>
      </c>
      <c r="H23" s="1645"/>
      <c r="I23" s="1645"/>
      <c r="J23" s="1645"/>
      <c r="K23" s="1645"/>
      <c r="L23" s="1645"/>
      <c r="M23" s="1645"/>
      <c r="N23" s="1645"/>
      <c r="O23" s="1645"/>
      <c r="P23" s="1645"/>
      <c r="Q23" s="1645"/>
      <c r="R23" s="1645"/>
      <c r="S23" s="1645"/>
      <c r="T23" s="1645"/>
      <c r="U23" s="1645"/>
      <c r="V23" s="1645"/>
      <c r="W23" s="1645"/>
      <c r="Z23" s="933"/>
    </row>
    <row r="24" spans="1:31" s="942" customFormat="1" ht="15" customHeight="1">
      <c r="A24" s="933"/>
      <c r="B24" s="933"/>
      <c r="C24" s="933"/>
      <c r="D24" s="933"/>
      <c r="E24" s="933"/>
      <c r="F24" s="933"/>
      <c r="G24" s="1645"/>
      <c r="H24" s="1645"/>
      <c r="I24" s="1645"/>
      <c r="J24" s="1645"/>
      <c r="K24" s="1645"/>
      <c r="L24" s="1645"/>
      <c r="M24" s="1645"/>
      <c r="N24" s="1645"/>
      <c r="O24" s="1645"/>
      <c r="P24" s="1645"/>
      <c r="Q24" s="1645"/>
      <c r="R24" s="1645"/>
      <c r="S24" s="1645"/>
      <c r="T24" s="1645"/>
      <c r="U24" s="1645"/>
      <c r="V24" s="1645"/>
      <c r="W24" s="1645"/>
      <c r="Z24" s="933"/>
    </row>
    <row r="25" spans="1:31" s="942" customFormat="1" ht="15" customHeight="1">
      <c r="A25" s="933"/>
      <c r="B25" s="933" t="s">
        <v>22</v>
      </c>
      <c r="C25" s="933"/>
      <c r="D25" s="933"/>
      <c r="E25" s="933"/>
      <c r="F25" s="933"/>
      <c r="G25" s="1650" t="str">
        <f>IF(cst_wskakunin_sekou1_JIMU_NAME="",cst_wskakunin_sekkei1_TEL,cst_wskakunin_sekou1_TEL)</f>
        <v/>
      </c>
      <c r="H25" s="1650"/>
      <c r="I25" s="1650"/>
      <c r="J25" s="1650"/>
      <c r="K25" s="1650"/>
      <c r="L25" s="1650"/>
      <c r="M25" s="1650"/>
      <c r="N25" s="1650"/>
      <c r="O25" s="1650"/>
      <c r="P25" s="1650"/>
      <c r="Q25" s="1650"/>
      <c r="R25" s="1650"/>
      <c r="S25" s="1650"/>
      <c r="T25" s="1650"/>
      <c r="U25" s="1650"/>
      <c r="V25" s="1650"/>
      <c r="W25" s="1650"/>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650" t="str">
        <f>cst_wskakunin_kanri1_NAME</f>
        <v/>
      </c>
      <c r="H27" s="1650"/>
      <c r="I27" s="1650"/>
      <c r="J27" s="1650"/>
      <c r="K27" s="1650"/>
      <c r="L27" s="1650"/>
      <c r="M27" s="1650"/>
      <c r="N27" s="1650"/>
      <c r="O27" s="1650"/>
      <c r="P27" s="1650"/>
      <c r="Q27" s="1650"/>
      <c r="R27" s="1650"/>
      <c r="S27" s="1650"/>
      <c r="T27" s="1650"/>
      <c r="U27" s="1650"/>
      <c r="V27" s="1650"/>
      <c r="W27" s="1650"/>
      <c r="X27" s="948"/>
      <c r="Z27" s="933"/>
      <c r="AA27" s="948"/>
    </row>
    <row r="28" spans="1:31" s="934" customFormat="1" ht="15" customHeight="1">
      <c r="A28" s="933"/>
      <c r="B28" s="933" t="s">
        <v>37</v>
      </c>
      <c r="C28" s="933"/>
      <c r="D28" s="933"/>
      <c r="E28" s="933"/>
      <c r="F28" s="933"/>
      <c r="G28" s="1645" t="str">
        <f>cst_wskakunin_kanri1_JIMU_NAME</f>
        <v/>
      </c>
      <c r="H28" s="1645"/>
      <c r="I28" s="1645"/>
      <c r="J28" s="1645"/>
      <c r="K28" s="1645"/>
      <c r="L28" s="1645"/>
      <c r="M28" s="1645"/>
      <c r="N28" s="1645"/>
      <c r="O28" s="1645"/>
      <c r="P28" s="1645"/>
      <c r="Q28" s="1645"/>
      <c r="R28" s="1645"/>
      <c r="S28" s="1645"/>
      <c r="T28" s="1645"/>
      <c r="U28" s="1645"/>
      <c r="V28" s="1645"/>
      <c r="W28" s="1645"/>
      <c r="X28" s="933"/>
      <c r="Z28" s="933"/>
      <c r="AA28" s="933"/>
    </row>
    <row r="29" spans="1:31" s="934" customFormat="1" ht="15" customHeight="1">
      <c r="A29" s="933"/>
      <c r="B29" s="933" t="s">
        <v>3099</v>
      </c>
      <c r="C29" s="933"/>
      <c r="D29" s="933"/>
      <c r="E29" s="933"/>
      <c r="F29" s="933"/>
      <c r="G29" s="1645"/>
      <c r="H29" s="1645"/>
      <c r="I29" s="1645"/>
      <c r="J29" s="1645"/>
      <c r="K29" s="1645"/>
      <c r="L29" s="1645"/>
      <c r="M29" s="1645"/>
      <c r="N29" s="1645"/>
      <c r="O29" s="1645"/>
      <c r="P29" s="1645"/>
      <c r="Q29" s="1645"/>
      <c r="R29" s="1645"/>
      <c r="S29" s="1645"/>
      <c r="T29" s="1645"/>
      <c r="U29" s="1645"/>
      <c r="V29" s="1645"/>
      <c r="W29" s="1645"/>
      <c r="X29" s="948"/>
      <c r="Z29" s="933"/>
      <c r="AA29" s="948"/>
    </row>
    <row r="30" spans="1:31" s="934" customFormat="1" ht="15" customHeight="1">
      <c r="A30" s="933"/>
      <c r="B30" s="933" t="s">
        <v>20</v>
      </c>
      <c r="C30" s="933"/>
      <c r="D30" s="933"/>
      <c r="E30" s="933"/>
      <c r="F30" s="933"/>
      <c r="G30" s="952" t="s">
        <v>2429</v>
      </c>
      <c r="H30" s="1650" t="str">
        <f>cst_wskakunin_kanri1_ZIP</f>
        <v/>
      </c>
      <c r="I30" s="1650"/>
      <c r="J30" s="1650"/>
      <c r="K30" s="1650"/>
      <c r="L30" s="1650"/>
      <c r="M30" s="1650"/>
      <c r="N30" s="1650"/>
      <c r="O30" s="1650"/>
      <c r="P30" s="1650"/>
      <c r="Q30" s="1650"/>
      <c r="R30" s="1650"/>
      <c r="S30" s="1650"/>
      <c r="T30" s="1650"/>
      <c r="U30" s="1650"/>
      <c r="V30" s="1650"/>
      <c r="W30" s="1650"/>
      <c r="X30" s="933"/>
      <c r="Z30" s="933"/>
      <c r="AA30" s="933"/>
    </row>
    <row r="31" spans="1:31" s="934" customFormat="1" ht="15" customHeight="1">
      <c r="A31" s="933"/>
      <c r="B31" s="933" t="s">
        <v>25</v>
      </c>
      <c r="C31" s="933"/>
      <c r="D31" s="933"/>
      <c r="E31" s="933"/>
      <c r="F31" s="933"/>
      <c r="G31" s="1645" t="str">
        <f>cst_wskakunin_kanri1__address</f>
        <v/>
      </c>
      <c r="H31" s="1645"/>
      <c r="I31" s="1645"/>
      <c r="J31" s="1645"/>
      <c r="K31" s="1645"/>
      <c r="L31" s="1645"/>
      <c r="M31" s="1645"/>
      <c r="N31" s="1645"/>
      <c r="O31" s="1645"/>
      <c r="P31" s="1645"/>
      <c r="Q31" s="1645"/>
      <c r="R31" s="1645"/>
      <c r="S31" s="1645"/>
      <c r="T31" s="1645"/>
      <c r="U31" s="1645"/>
      <c r="V31" s="1645"/>
      <c r="W31" s="1645"/>
      <c r="X31" s="948"/>
      <c r="Z31" s="933"/>
      <c r="AA31" s="948"/>
    </row>
    <row r="32" spans="1:31" s="934" customFormat="1" ht="15" customHeight="1">
      <c r="A32" s="933"/>
      <c r="B32" s="933"/>
      <c r="C32" s="933"/>
      <c r="D32" s="933"/>
      <c r="E32" s="933"/>
      <c r="F32" s="933"/>
      <c r="G32" s="1645"/>
      <c r="H32" s="1645"/>
      <c r="I32" s="1645"/>
      <c r="J32" s="1645"/>
      <c r="K32" s="1645"/>
      <c r="L32" s="1645"/>
      <c r="M32" s="1645"/>
      <c r="N32" s="1645"/>
      <c r="O32" s="1645"/>
      <c r="P32" s="1645"/>
      <c r="Q32" s="1645"/>
      <c r="R32" s="1645"/>
      <c r="S32" s="1645"/>
      <c r="T32" s="1645"/>
      <c r="U32" s="1645"/>
      <c r="V32" s="1645"/>
      <c r="W32" s="1645"/>
      <c r="X32" s="948"/>
      <c r="Z32" s="933"/>
      <c r="AA32" s="948"/>
    </row>
    <row r="33" spans="1:42" s="934" customFormat="1" ht="15" customHeight="1">
      <c r="A33" s="933"/>
      <c r="B33" s="933" t="s">
        <v>22</v>
      </c>
      <c r="C33" s="933"/>
      <c r="D33" s="933"/>
      <c r="E33" s="933"/>
      <c r="F33" s="933"/>
      <c r="G33" s="1650" t="str">
        <f>cst_wskakunin_kanri1_TEL</f>
        <v/>
      </c>
      <c r="H33" s="1650"/>
      <c r="I33" s="1650"/>
      <c r="J33" s="1650"/>
      <c r="K33" s="1650"/>
      <c r="L33" s="1650"/>
      <c r="M33" s="1650"/>
      <c r="N33" s="1650"/>
      <c r="O33" s="1650"/>
      <c r="P33" s="1650"/>
      <c r="Q33" s="1650"/>
      <c r="R33" s="1650"/>
      <c r="S33" s="1650"/>
      <c r="T33" s="1650"/>
      <c r="U33" s="1650"/>
      <c r="V33" s="1650"/>
      <c r="W33" s="1650"/>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651" t="s">
        <v>3666</v>
      </c>
      <c r="J35" s="1651"/>
      <c r="K35" s="1651"/>
      <c r="L35" s="1651"/>
      <c r="M35" s="1651"/>
      <c r="N35" s="1651"/>
      <c r="O35" s="1651"/>
      <c r="P35" s="1651"/>
      <c r="Z35" s="933"/>
      <c r="AA35" s="933"/>
    </row>
    <row r="36" spans="1:42" s="934" customFormat="1" ht="15" customHeight="1">
      <c r="A36" s="933"/>
      <c r="B36" s="933" t="s">
        <v>3101</v>
      </c>
      <c r="C36" s="933"/>
      <c r="D36" s="933"/>
      <c r="E36" s="933"/>
      <c r="F36" s="933"/>
      <c r="I36" s="1651" t="s">
        <v>3379</v>
      </c>
      <c r="J36" s="1651"/>
      <c r="K36" s="1651"/>
      <c r="L36" s="1651"/>
      <c r="M36" s="1651"/>
      <c r="N36" s="1651"/>
      <c r="O36" s="1651"/>
      <c r="P36" s="1651"/>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649"/>
      <c r="H40" s="1649"/>
      <c r="I40" s="1649"/>
      <c r="J40" s="1649"/>
      <c r="K40" s="1649"/>
      <c r="L40" s="1649"/>
      <c r="M40" s="1649"/>
      <c r="N40" s="1649"/>
      <c r="O40" s="1649"/>
      <c r="P40" s="1649"/>
      <c r="Q40" s="1649"/>
      <c r="R40" s="1649"/>
      <c r="S40" s="1649"/>
      <c r="T40" s="1649"/>
      <c r="U40" s="1649"/>
      <c r="V40" s="1649"/>
      <c r="W40" s="1649"/>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649"/>
      <c r="H41" s="1649"/>
      <c r="I41" s="1649"/>
      <c r="J41" s="1649"/>
      <c r="K41" s="1649"/>
      <c r="L41" s="1649"/>
      <c r="M41" s="1649"/>
      <c r="N41" s="1649"/>
      <c r="O41" s="1649"/>
      <c r="P41" s="1649"/>
      <c r="Q41" s="1649"/>
      <c r="R41" s="1649"/>
      <c r="S41" s="1649"/>
      <c r="T41" s="1649"/>
      <c r="U41" s="1649"/>
      <c r="V41" s="1649"/>
      <c r="W41" s="1649"/>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647"/>
      <c r="I42" s="1647"/>
      <c r="J42" s="1647"/>
      <c r="K42" s="1647"/>
      <c r="L42" s="1647"/>
      <c r="M42" s="1647"/>
      <c r="N42" s="1647"/>
      <c r="O42" s="1647"/>
      <c r="P42" s="1647"/>
      <c r="Q42" s="1647"/>
      <c r="R42" s="1647"/>
      <c r="S42" s="1647"/>
      <c r="T42" s="1647"/>
      <c r="U42" s="1647"/>
      <c r="V42" s="1647"/>
      <c r="W42" s="1647"/>
      <c r="Z42" s="933"/>
      <c r="AI42" s="941"/>
      <c r="AJ42" s="941"/>
      <c r="AK42" s="941"/>
      <c r="AL42" s="941"/>
      <c r="AM42" s="941"/>
      <c r="AN42" s="941"/>
      <c r="AO42" s="941"/>
      <c r="AP42" s="941"/>
    </row>
    <row r="43" spans="1:42" s="942" customFormat="1" ht="15" customHeight="1">
      <c r="A43" s="933"/>
      <c r="B43" s="933" t="s">
        <v>25</v>
      </c>
      <c r="C43" s="933"/>
      <c r="D43" s="933"/>
      <c r="E43" s="933"/>
      <c r="F43" s="933"/>
      <c r="G43" s="1649"/>
      <c r="H43" s="1649"/>
      <c r="I43" s="1649"/>
      <c r="J43" s="1649"/>
      <c r="K43" s="1649"/>
      <c r="L43" s="1649"/>
      <c r="M43" s="1649"/>
      <c r="N43" s="1649"/>
      <c r="O43" s="1649"/>
      <c r="P43" s="1649"/>
      <c r="Q43" s="1649"/>
      <c r="R43" s="1649"/>
      <c r="S43" s="1649"/>
      <c r="T43" s="1649"/>
      <c r="U43" s="1649"/>
      <c r="V43" s="1649"/>
      <c r="W43" s="1649"/>
      <c r="Z43" s="933"/>
      <c r="AI43" s="941"/>
      <c r="AJ43" s="941"/>
      <c r="AK43" s="941"/>
      <c r="AL43" s="941"/>
      <c r="AM43" s="941"/>
      <c r="AN43" s="941"/>
      <c r="AO43" s="941"/>
      <c r="AP43" s="941"/>
    </row>
    <row r="44" spans="1:42" s="942" customFormat="1" ht="15" customHeight="1">
      <c r="A44" s="933"/>
      <c r="B44" s="933"/>
      <c r="C44" s="933"/>
      <c r="D44" s="933"/>
      <c r="E44" s="933"/>
      <c r="F44" s="933"/>
      <c r="G44" s="1649"/>
      <c r="H44" s="1649"/>
      <c r="I44" s="1649"/>
      <c r="J44" s="1649"/>
      <c r="K44" s="1649"/>
      <c r="L44" s="1649"/>
      <c r="M44" s="1649"/>
      <c r="N44" s="1649"/>
      <c r="O44" s="1649"/>
      <c r="P44" s="1649"/>
      <c r="Q44" s="1649"/>
      <c r="R44" s="1649"/>
      <c r="S44" s="1649"/>
      <c r="T44" s="1649"/>
      <c r="U44" s="1649"/>
      <c r="V44" s="1649"/>
      <c r="W44" s="1649"/>
      <c r="Z44" s="933"/>
      <c r="AI44" s="941"/>
      <c r="AJ44" s="941"/>
      <c r="AK44" s="941"/>
      <c r="AL44" s="941"/>
      <c r="AM44" s="941"/>
      <c r="AN44" s="941"/>
      <c r="AO44" s="941"/>
      <c r="AP44" s="941"/>
    </row>
    <row r="45" spans="1:42" s="942" customFormat="1" ht="15" customHeight="1">
      <c r="A45" s="933"/>
      <c r="B45" s="933" t="s">
        <v>22</v>
      </c>
      <c r="C45" s="933"/>
      <c r="D45" s="933"/>
      <c r="E45" s="933"/>
      <c r="F45" s="933"/>
      <c r="G45" s="1647"/>
      <c r="H45" s="1647"/>
      <c r="I45" s="1647"/>
      <c r="J45" s="1647"/>
      <c r="K45" s="1647"/>
      <c r="L45" s="1647"/>
      <c r="M45" s="1647"/>
      <c r="N45" s="1647"/>
      <c r="O45" s="1647"/>
      <c r="P45" s="1647"/>
      <c r="Q45" s="1647"/>
      <c r="R45" s="1647"/>
      <c r="S45" s="1647"/>
      <c r="T45" s="1647"/>
      <c r="U45" s="1647"/>
      <c r="V45" s="1647"/>
      <c r="W45" s="1647"/>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634" t="s">
        <v>3104</v>
      </c>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936" t="s">
        <v>3093</v>
      </c>
      <c r="Z55" s="936"/>
      <c r="AA55" s="943"/>
      <c r="AB55" s="935"/>
      <c r="AC55" s="935"/>
      <c r="AD55" s="935"/>
      <c r="AE55" s="935"/>
    </row>
    <row r="56" spans="1:40" s="942" customFormat="1" ht="15" customHeight="1">
      <c r="A56" s="957" t="s">
        <v>3667</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3668</v>
      </c>
      <c r="C57" s="933"/>
      <c r="D57" s="933"/>
      <c r="E57" s="933"/>
      <c r="I57" s="1648" t="str">
        <f>cst_wskakunin_KOUJI_TYAKUSYU_YOTEI_DATE</f>
        <v/>
      </c>
      <c r="J57" s="1648"/>
      <c r="K57" s="1648"/>
      <c r="L57" s="1648"/>
      <c r="M57" s="1648"/>
      <c r="W57" s="933"/>
      <c r="Y57" s="950" t="str">
        <f>HYPERLINK("#A1：X54")</f>
        <v>#A1：X54</v>
      </c>
      <c r="Z57" s="951" t="s">
        <v>2723</v>
      </c>
      <c r="AA57" s="947"/>
      <c r="AB57" s="946"/>
      <c r="AC57" s="946"/>
      <c r="AD57" s="946"/>
      <c r="AE57" s="946"/>
    </row>
    <row r="58" spans="1:40" s="942" customFormat="1" ht="15" customHeight="1">
      <c r="A58" s="933"/>
      <c r="B58" s="933" t="s">
        <v>3669</v>
      </c>
      <c r="C58" s="933"/>
      <c r="D58" s="933"/>
      <c r="E58" s="933"/>
      <c r="I58" s="1648" t="str">
        <f>cst_wskakunin_KOUJI_KANRYOU_YOTEI_DATE</f>
        <v/>
      </c>
      <c r="J58" s="1648"/>
      <c r="K58" s="1648"/>
      <c r="L58" s="1648"/>
      <c r="M58" s="1648"/>
      <c r="N58" s="933"/>
      <c r="O58" s="933"/>
      <c r="P58" s="933"/>
      <c r="Q58" s="933"/>
      <c r="W58" s="933"/>
      <c r="X58" s="933"/>
      <c r="Y58" s="950" t="str">
        <f>HYPERLINK("#A55：X108")</f>
        <v>#A55：X108</v>
      </c>
      <c r="Z58" s="953" t="s">
        <v>3665</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3670</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3671</v>
      </c>
      <c r="C61" s="933"/>
      <c r="D61" s="933"/>
      <c r="I61" s="965" t="s">
        <v>28</v>
      </c>
      <c r="J61" s="1641" t="s">
        <v>3106</v>
      </c>
      <c r="K61" s="1641"/>
      <c r="L61" s="965" t="s">
        <v>28</v>
      </c>
      <c r="M61" s="1641" t="s">
        <v>3107</v>
      </c>
      <c r="N61" s="1641"/>
      <c r="O61" s="1641"/>
      <c r="P61" s="1641"/>
      <c r="Q61" s="965" t="s">
        <v>28</v>
      </c>
      <c r="R61" s="1641" t="s">
        <v>3108</v>
      </c>
      <c r="S61" s="1641"/>
      <c r="T61" s="1641"/>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641" t="s">
        <v>3109</v>
      </c>
      <c r="K62" s="1641"/>
      <c r="L62" s="965" t="s">
        <v>28</v>
      </c>
      <c r="M62" s="1641" t="s">
        <v>3110</v>
      </c>
      <c r="N62" s="1641"/>
      <c r="O62" s="1641"/>
      <c r="P62" s="1641"/>
      <c r="Q62" s="965" t="s">
        <v>28</v>
      </c>
      <c r="R62" s="1641" t="s">
        <v>3111</v>
      </c>
      <c r="S62" s="1641"/>
      <c r="T62" s="1641"/>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3672</v>
      </c>
      <c r="C63" s="933"/>
      <c r="D63" s="933"/>
      <c r="E63" s="933"/>
      <c r="F63" s="933"/>
      <c r="G63" s="933"/>
      <c r="H63" s="933"/>
      <c r="I63" s="933"/>
      <c r="J63" s="965" t="s">
        <v>28</v>
      </c>
      <c r="K63" s="933" t="s">
        <v>3673</v>
      </c>
      <c r="L63" s="933"/>
      <c r="M63" s="933"/>
      <c r="N63" s="933"/>
      <c r="O63" s="933"/>
      <c r="P63" s="965" t="s">
        <v>28</v>
      </c>
      <c r="Q63" s="933" t="s">
        <v>3674</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3675</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3676</v>
      </c>
      <c r="L65" s="933"/>
      <c r="M65" s="933"/>
      <c r="N65" s="933"/>
      <c r="O65" s="933"/>
      <c r="P65" s="966"/>
      <c r="Q65" s="966"/>
      <c r="R65" s="965" t="s">
        <v>28</v>
      </c>
      <c r="S65" s="933" t="s">
        <v>3677</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3678</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645" t="str">
        <f>cst_wskakunin_BUILD__address</f>
        <v/>
      </c>
      <c r="G68" s="1645"/>
      <c r="H68" s="1645"/>
      <c r="I68" s="1645"/>
      <c r="J68" s="1645"/>
      <c r="K68" s="1645"/>
      <c r="L68" s="1645"/>
      <c r="M68" s="1645"/>
      <c r="N68" s="1645"/>
      <c r="O68" s="1645"/>
      <c r="P68" s="1645"/>
      <c r="Q68" s="1645"/>
      <c r="R68" s="1645"/>
      <c r="S68" s="1645"/>
      <c r="T68" s="1645"/>
      <c r="U68" s="1645"/>
      <c r="V68" s="1645"/>
      <c r="W68" s="1645"/>
      <c r="X68" s="933"/>
      <c r="Z68" s="933"/>
      <c r="AA68" s="933"/>
      <c r="AG68" s="941"/>
      <c r="AH68" s="941"/>
      <c r="AI68" s="941"/>
      <c r="AJ68" s="941"/>
      <c r="AK68" s="941"/>
      <c r="AL68" s="941"/>
      <c r="AM68" s="941"/>
      <c r="AN68" s="941"/>
    </row>
    <row r="69" spans="1:40" s="942" customFormat="1" ht="15" customHeight="1">
      <c r="A69" s="933"/>
      <c r="B69" s="933"/>
      <c r="C69" s="933"/>
      <c r="D69" s="933"/>
      <c r="E69" s="933"/>
      <c r="F69" s="1645"/>
      <c r="G69" s="1645"/>
      <c r="H69" s="1645"/>
      <c r="I69" s="1645"/>
      <c r="J69" s="1645"/>
      <c r="K69" s="1645"/>
      <c r="L69" s="1645"/>
      <c r="M69" s="1645"/>
      <c r="N69" s="1645"/>
      <c r="O69" s="1645"/>
      <c r="P69" s="1645"/>
      <c r="Q69" s="1645"/>
      <c r="R69" s="1645"/>
      <c r="S69" s="1645"/>
      <c r="T69" s="1645"/>
      <c r="U69" s="1645"/>
      <c r="V69" s="1645"/>
      <c r="W69" s="1645"/>
      <c r="X69" s="933"/>
      <c r="Z69" s="933"/>
      <c r="AA69" s="933"/>
    </row>
    <row r="70" spans="1:40" s="942" customFormat="1" ht="15" customHeight="1">
      <c r="A70" s="933"/>
      <c r="C70" s="933"/>
      <c r="D70" s="933"/>
      <c r="E70" s="933"/>
      <c r="F70" s="1645"/>
      <c r="G70" s="1645"/>
      <c r="H70" s="1645"/>
      <c r="I70" s="1645"/>
      <c r="J70" s="1645"/>
      <c r="K70" s="1645"/>
      <c r="L70" s="1645"/>
      <c r="M70" s="1645"/>
      <c r="N70" s="1645"/>
      <c r="O70" s="1645"/>
      <c r="P70" s="1645"/>
      <c r="Q70" s="1645"/>
      <c r="R70" s="1645"/>
      <c r="S70" s="1645"/>
      <c r="T70" s="1645"/>
      <c r="U70" s="1645"/>
      <c r="V70" s="1645"/>
      <c r="W70" s="1645"/>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3679</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646" t="s">
        <v>376</v>
      </c>
      <c r="I82" s="1646"/>
      <c r="J82" s="1646"/>
      <c r="K82" s="937" t="s">
        <v>6</v>
      </c>
      <c r="L82" s="933"/>
      <c r="M82" s="937" t="s">
        <v>401</v>
      </c>
      <c r="N82" s="1646" t="s">
        <v>376</v>
      </c>
      <c r="O82" s="1646"/>
      <c r="P82" s="1646"/>
      <c r="Q82" s="937" t="s">
        <v>6</v>
      </c>
      <c r="R82" s="933"/>
      <c r="S82" s="937" t="s">
        <v>401</v>
      </c>
      <c r="T82" s="1646" t="s">
        <v>376</v>
      </c>
      <c r="U82" s="1646"/>
      <c r="V82" s="1646"/>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3680</v>
      </c>
      <c r="I91" s="933"/>
      <c r="J91" s="933"/>
      <c r="K91" s="933"/>
      <c r="L91" s="933"/>
      <c r="M91" s="973" t="s">
        <v>28</v>
      </c>
      <c r="N91" s="974" t="s">
        <v>3680</v>
      </c>
      <c r="O91" s="933"/>
      <c r="P91" s="933"/>
      <c r="Q91" s="933"/>
      <c r="R91" s="933"/>
      <c r="S91" s="973" t="s">
        <v>28</v>
      </c>
      <c r="T91" s="974" t="s">
        <v>3680</v>
      </c>
      <c r="U91" s="933"/>
      <c r="V91" s="933"/>
      <c r="W91" s="933"/>
      <c r="X91" s="933"/>
      <c r="Z91" s="933"/>
      <c r="AA91" s="933"/>
    </row>
    <row r="92" spans="1:33" s="942" customFormat="1" ht="15" customHeight="1">
      <c r="A92" s="933"/>
      <c r="B92" s="1641" t="s">
        <v>3138</v>
      </c>
      <c r="C92" s="1641"/>
      <c r="D92" s="1641"/>
      <c r="E92" s="1641"/>
      <c r="F92" s="1641"/>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641" t="s">
        <v>3681</v>
      </c>
      <c r="I93" s="1641"/>
      <c r="J93" s="1641"/>
      <c r="K93" s="1641"/>
      <c r="L93" s="1641"/>
      <c r="M93" s="973" t="s">
        <v>28</v>
      </c>
      <c r="N93" s="1641" t="s">
        <v>3681</v>
      </c>
      <c r="O93" s="1641"/>
      <c r="P93" s="1641"/>
      <c r="Q93" s="1641"/>
      <c r="R93" s="1641"/>
      <c r="S93" s="973" t="s">
        <v>28</v>
      </c>
      <c r="T93" s="1641" t="s">
        <v>3681</v>
      </c>
      <c r="U93" s="1641"/>
      <c r="V93" s="1641"/>
      <c r="W93" s="1641"/>
      <c r="X93" s="1641"/>
      <c r="Z93" s="933"/>
      <c r="AA93" s="933"/>
    </row>
    <row r="94" spans="1:33" s="942" customFormat="1" ht="15" customHeight="1">
      <c r="A94" s="933"/>
      <c r="B94" s="933"/>
      <c r="C94" s="933"/>
      <c r="D94" s="933"/>
      <c r="E94" s="933"/>
      <c r="F94" s="933"/>
      <c r="G94" s="973" t="s">
        <v>28</v>
      </c>
      <c r="H94" s="933" t="s">
        <v>3682</v>
      </c>
      <c r="I94" s="933"/>
      <c r="J94" s="933"/>
      <c r="K94" s="933"/>
      <c r="L94" s="933"/>
      <c r="M94" s="973" t="s">
        <v>28</v>
      </c>
      <c r="N94" s="933" t="s">
        <v>3682</v>
      </c>
      <c r="O94" s="933"/>
      <c r="P94" s="933"/>
      <c r="Q94" s="933"/>
      <c r="R94" s="933"/>
      <c r="S94" s="973" t="s">
        <v>28</v>
      </c>
      <c r="T94" s="933" t="s">
        <v>3682</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641" t="s">
        <v>3683</v>
      </c>
      <c r="I96" s="1641"/>
      <c r="J96" s="1641"/>
      <c r="K96" s="1641"/>
      <c r="L96" s="1641"/>
      <c r="M96" s="973" t="s">
        <v>28</v>
      </c>
      <c r="N96" s="1641" t="s">
        <v>3683</v>
      </c>
      <c r="O96" s="1641"/>
      <c r="P96" s="1641"/>
      <c r="Q96" s="1641"/>
      <c r="R96" s="1641"/>
      <c r="S96" s="973" t="s">
        <v>28</v>
      </c>
      <c r="T96" s="1641" t="s">
        <v>3683</v>
      </c>
      <c r="U96" s="1641"/>
      <c r="V96" s="1641"/>
      <c r="W96" s="1641"/>
      <c r="X96" s="1641"/>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3684</v>
      </c>
      <c r="C98" s="933"/>
      <c r="D98" s="933"/>
      <c r="E98" s="933"/>
      <c r="F98" s="933"/>
      <c r="G98" s="937" t="s">
        <v>401</v>
      </c>
      <c r="H98" s="1643" t="str">
        <f>cst_koujikikan_month</f>
        <v/>
      </c>
      <c r="I98" s="1643"/>
      <c r="J98" s="933" t="s">
        <v>3685</v>
      </c>
      <c r="M98" s="937" t="s">
        <v>401</v>
      </c>
      <c r="N98" s="1642"/>
      <c r="O98" s="1642"/>
      <c r="P98" s="933" t="s">
        <v>3685</v>
      </c>
      <c r="S98" s="937" t="s">
        <v>401</v>
      </c>
      <c r="T98" s="1642"/>
      <c r="U98" s="1642"/>
      <c r="V98" s="933" t="s">
        <v>3685</v>
      </c>
      <c r="Z98" s="933"/>
      <c r="AA98" s="933"/>
    </row>
    <row r="99" spans="1:31" s="942" customFormat="1" ht="15" customHeight="1">
      <c r="A99" s="933"/>
      <c r="B99" s="933" t="s">
        <v>3686</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644" t="str">
        <f>cst_wskakunin_p4_1_YUKA_MENSEKI_SHINSEI</f>
        <v/>
      </c>
      <c r="I100" s="1644"/>
      <c r="J100" s="1644"/>
      <c r="K100" s="933" t="s">
        <v>3142</v>
      </c>
      <c r="L100" s="933"/>
      <c r="M100" s="937" t="s">
        <v>401</v>
      </c>
      <c r="N100" s="1644" t="str">
        <f>cst_wskakunin_p4_2_YUKA_MENSEKI_SHINSEI</f>
        <v/>
      </c>
      <c r="O100" s="1644"/>
      <c r="P100" s="1644"/>
      <c r="Q100" s="933" t="s">
        <v>3142</v>
      </c>
      <c r="R100" s="933"/>
      <c r="S100" s="937" t="s">
        <v>401</v>
      </c>
      <c r="T100" s="1644" t="str">
        <f>cst_wskakunin_p4_3_YUKA_MENSEKI_SHINSEI</f>
        <v/>
      </c>
      <c r="U100" s="1644"/>
      <c r="V100" s="1644"/>
      <c r="W100" s="933" t="s">
        <v>3142</v>
      </c>
      <c r="X100" s="933"/>
      <c r="Z100" s="933"/>
      <c r="AA100" s="933"/>
    </row>
    <row r="101" spans="1:31" s="942" customFormat="1" ht="15" customHeight="1">
      <c r="A101" s="933"/>
      <c r="B101" s="933" t="s">
        <v>3687</v>
      </c>
      <c r="C101" s="933"/>
      <c r="D101" s="933"/>
      <c r="E101" s="933"/>
      <c r="F101" s="933"/>
      <c r="G101" s="937" t="s">
        <v>401</v>
      </c>
      <c r="H101" s="1642"/>
      <c r="I101" s="1642"/>
      <c r="J101" s="933" t="s">
        <v>3143</v>
      </c>
      <c r="K101" s="934"/>
      <c r="L101" s="933"/>
      <c r="M101" s="937" t="s">
        <v>401</v>
      </c>
      <c r="N101" s="1642"/>
      <c r="O101" s="1642"/>
      <c r="P101" s="933" t="s">
        <v>3143</v>
      </c>
      <c r="Q101" s="934"/>
      <c r="R101" s="933"/>
      <c r="S101" s="937" t="s">
        <v>401</v>
      </c>
      <c r="T101" s="1642"/>
      <c r="U101" s="1642"/>
      <c r="V101" s="933" t="s">
        <v>3143</v>
      </c>
      <c r="W101" s="934"/>
      <c r="X101" s="933"/>
      <c r="Z101" s="933"/>
      <c r="AA101" s="933"/>
    </row>
    <row r="102" spans="1:31" s="942" customFormat="1" ht="15" customHeight="1">
      <c r="A102" s="933"/>
      <c r="B102" s="933" t="s">
        <v>3688</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638" t="str">
        <f>cst_wskakunin_p4_1_KAISU_TIKAI_NOZOKU</f>
        <v/>
      </c>
      <c r="I103" s="1638"/>
      <c r="J103" s="933" t="s">
        <v>3144</v>
      </c>
      <c r="K103" s="933"/>
      <c r="L103" s="933"/>
      <c r="M103" s="937" t="s">
        <v>401</v>
      </c>
      <c r="N103" s="1638" t="str">
        <f>cst_wskakunin_p4_2_KAISU_TIKAI_NOZOKU</f>
        <v/>
      </c>
      <c r="O103" s="1638"/>
      <c r="P103" s="933" t="s">
        <v>3144</v>
      </c>
      <c r="Q103" s="933"/>
      <c r="R103" s="933"/>
      <c r="S103" s="937" t="s">
        <v>401</v>
      </c>
      <c r="T103" s="1638" t="str">
        <f>cst_wskakunin_p4_3_KAISU_TIKAI_NOZOKU</f>
        <v/>
      </c>
      <c r="U103" s="1638"/>
      <c r="V103" s="933" t="s">
        <v>3144</v>
      </c>
      <c r="W103" s="933"/>
      <c r="X103" s="933"/>
      <c r="Z103" s="933"/>
      <c r="AA103" s="933"/>
    </row>
    <row r="104" spans="1:31" s="942" customFormat="1" ht="15" customHeight="1">
      <c r="A104" s="933"/>
      <c r="B104" s="933" t="s">
        <v>3689</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638" t="str">
        <f>cst_wskakunin_p4_1_KAISU_TIKAI</f>
        <v/>
      </c>
      <c r="I105" s="1638"/>
      <c r="J105" s="933" t="s">
        <v>3144</v>
      </c>
      <c r="K105" s="933"/>
      <c r="L105" s="933"/>
      <c r="M105" s="937" t="s">
        <v>401</v>
      </c>
      <c r="N105" s="1638" t="str">
        <f>cst_wskakunin_p4_2_KAISU_TIKAI</f>
        <v/>
      </c>
      <c r="O105" s="1638"/>
      <c r="P105" s="933" t="s">
        <v>3144</v>
      </c>
      <c r="Q105" s="933"/>
      <c r="R105" s="933"/>
      <c r="S105" s="937" t="s">
        <v>401</v>
      </c>
      <c r="T105" s="1638" t="str">
        <f>cst_wskakunin_p4_3_KAISU_TIKAI</f>
        <v/>
      </c>
      <c r="U105" s="1638"/>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639" t="str">
        <f>cst_wskakunin_SHIKITI_MENSEKI_1_TOTAL</f>
        <v/>
      </c>
      <c r="P107" s="1639"/>
      <c r="Q107" s="1639"/>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634" t="s">
        <v>419</v>
      </c>
      <c r="B109" s="1634"/>
      <c r="C109" s="1634"/>
      <c r="D109" s="1634"/>
      <c r="E109" s="1634"/>
      <c r="F109" s="1634"/>
      <c r="G109" s="1634"/>
      <c r="H109" s="1634"/>
      <c r="I109" s="1634"/>
      <c r="J109" s="1634"/>
      <c r="K109" s="1634"/>
      <c r="L109" s="1634"/>
      <c r="M109" s="1634"/>
      <c r="N109" s="1634"/>
      <c r="O109" s="1634"/>
      <c r="P109" s="1634"/>
      <c r="Q109" s="1634"/>
      <c r="R109" s="1634"/>
      <c r="S109" s="1634"/>
      <c r="T109" s="1634"/>
      <c r="U109" s="1634"/>
      <c r="V109" s="1634"/>
      <c r="W109" s="1634"/>
      <c r="X109" s="1634"/>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640" t="s">
        <v>3147</v>
      </c>
      <c r="B111" s="1640"/>
      <c r="C111" s="1640"/>
      <c r="D111" s="1640"/>
      <c r="E111" s="1640"/>
      <c r="F111" s="1640"/>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3665</v>
      </c>
      <c r="AA112" s="954"/>
      <c r="AB112" s="955"/>
      <c r="AC112" s="955"/>
      <c r="AD112" s="955"/>
      <c r="AE112" s="955"/>
    </row>
    <row r="113" spans="1:31" s="942" customFormat="1" ht="15" customHeight="1">
      <c r="A113" s="933"/>
      <c r="B113" s="933" t="s">
        <v>3690</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641" t="s">
        <v>3691</v>
      </c>
      <c r="G114" s="1641"/>
      <c r="H114" s="1641"/>
      <c r="I114" s="973" t="s">
        <v>28</v>
      </c>
      <c r="J114" s="933" t="s">
        <v>47</v>
      </c>
      <c r="K114" s="933"/>
      <c r="L114" s="973" t="s">
        <v>28</v>
      </c>
      <c r="M114" s="933" t="s">
        <v>368</v>
      </c>
      <c r="N114" s="933"/>
      <c r="O114" s="973" t="s">
        <v>28</v>
      </c>
      <c r="P114" s="933" t="s">
        <v>3692</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641" t="s">
        <v>3693</v>
      </c>
      <c r="G115" s="1641"/>
      <c r="H115" s="1641"/>
      <c r="I115" s="933"/>
      <c r="J115" s="933"/>
      <c r="K115" s="933"/>
      <c r="L115" s="973" t="s">
        <v>28</v>
      </c>
      <c r="M115" s="933" t="s">
        <v>368</v>
      </c>
      <c r="N115" s="933"/>
      <c r="O115" s="973" t="s">
        <v>28</v>
      </c>
      <c r="P115" s="933" t="s">
        <v>3692</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3694</v>
      </c>
      <c r="C117" s="933"/>
      <c r="D117" s="933"/>
      <c r="E117" s="933"/>
      <c r="F117" s="934"/>
      <c r="G117" s="934"/>
      <c r="H117" s="973" t="s">
        <v>28</v>
      </c>
      <c r="I117" s="933" t="s">
        <v>3695</v>
      </c>
      <c r="J117" s="933"/>
      <c r="K117" s="933"/>
      <c r="L117" s="933"/>
      <c r="M117" s="933"/>
      <c r="N117" s="973" t="s">
        <v>28</v>
      </c>
      <c r="O117" s="933" t="s">
        <v>3696</v>
      </c>
      <c r="P117" s="933"/>
      <c r="Q117" s="934"/>
      <c r="R117" s="973" t="s">
        <v>28</v>
      </c>
      <c r="S117" s="933" t="s">
        <v>3697</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3698</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3699</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3700</v>
      </c>
      <c r="C122" s="933"/>
      <c r="D122" s="933"/>
      <c r="E122" s="933"/>
      <c r="F122" s="934"/>
      <c r="G122" s="934"/>
      <c r="H122" s="973" t="s">
        <v>28</v>
      </c>
      <c r="I122" s="933" t="s">
        <v>3701</v>
      </c>
      <c r="J122" s="933"/>
      <c r="K122" s="933"/>
      <c r="L122" s="933"/>
      <c r="M122" s="973" t="s">
        <v>28</v>
      </c>
      <c r="N122" s="933" t="s">
        <v>3702</v>
      </c>
      <c r="O122" s="933"/>
      <c r="P122" s="933"/>
      <c r="Q122" s="933"/>
      <c r="R122" s="933"/>
      <c r="S122" s="973" t="s">
        <v>28</v>
      </c>
      <c r="T122" s="933" t="s">
        <v>3703</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3704</v>
      </c>
      <c r="C124" s="933"/>
      <c r="D124" s="933"/>
      <c r="E124" s="933"/>
      <c r="F124" s="934"/>
      <c r="G124" s="934"/>
      <c r="H124" s="973" t="s">
        <v>28</v>
      </c>
      <c r="I124" s="933" t="s">
        <v>3705</v>
      </c>
      <c r="J124" s="933"/>
      <c r="K124" s="933"/>
      <c r="L124" s="933"/>
      <c r="M124" s="973" t="s">
        <v>28</v>
      </c>
      <c r="N124" s="933" t="s">
        <v>3706</v>
      </c>
      <c r="O124" s="933"/>
      <c r="P124" s="933"/>
      <c r="Q124" s="933"/>
      <c r="R124" s="933"/>
      <c r="S124" s="973" t="s">
        <v>28</v>
      </c>
      <c r="T124" s="933" t="s">
        <v>3707</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640" t="s">
        <v>3708</v>
      </c>
      <c r="C126" s="1640"/>
      <c r="D126" s="1640"/>
      <c r="E126" s="1640"/>
      <c r="F126" s="933"/>
      <c r="G126" s="933"/>
      <c r="H126" s="973" t="s">
        <v>28</v>
      </c>
      <c r="I126" s="933" t="s">
        <v>3152</v>
      </c>
      <c r="J126" s="934"/>
      <c r="K126" s="933"/>
      <c r="L126" s="973" t="s">
        <v>28</v>
      </c>
      <c r="M126" s="933" t="s">
        <v>3153</v>
      </c>
      <c r="N126" s="933"/>
      <c r="O126" s="933"/>
      <c r="P126" s="973" t="s">
        <v>28</v>
      </c>
      <c r="Q126" s="1641" t="s">
        <v>3154</v>
      </c>
      <c r="R126" s="1641"/>
      <c r="S126" s="1641"/>
      <c r="T126" s="973"/>
      <c r="U126" s="1641" t="s">
        <v>3155</v>
      </c>
      <c r="V126" s="1641"/>
      <c r="W126" s="1641"/>
      <c r="X126" s="933"/>
      <c r="Y126" s="933"/>
      <c r="Z126" s="933"/>
    </row>
    <row r="127" spans="1:31" s="942" customFormat="1" ht="15" customHeight="1">
      <c r="A127" s="933"/>
      <c r="B127" s="933" t="s">
        <v>3709</v>
      </c>
      <c r="C127" s="933"/>
      <c r="D127" s="934"/>
      <c r="E127" s="934"/>
      <c r="F127" s="934"/>
      <c r="G127" s="934"/>
      <c r="H127" s="976" t="s">
        <v>401</v>
      </c>
      <c r="I127" s="1637"/>
      <c r="J127" s="1637"/>
      <c r="K127" s="960" t="s">
        <v>3710</v>
      </c>
      <c r="L127" s="976" t="s">
        <v>401</v>
      </c>
      <c r="M127" s="1637"/>
      <c r="N127" s="1637"/>
      <c r="O127" s="960" t="s">
        <v>3710</v>
      </c>
      <c r="P127" s="976" t="s">
        <v>401</v>
      </c>
      <c r="Q127" s="1637"/>
      <c r="R127" s="1637"/>
      <c r="S127" s="960" t="s">
        <v>3710</v>
      </c>
      <c r="T127" s="976" t="s">
        <v>401</v>
      </c>
      <c r="U127" s="1637"/>
      <c r="V127" s="1637"/>
      <c r="W127" s="960" t="s">
        <v>3710</v>
      </c>
      <c r="X127" s="934"/>
      <c r="Y127" s="933"/>
      <c r="Z127" s="933"/>
    </row>
    <row r="128" spans="1:31" s="942" customFormat="1" ht="15" customHeight="1">
      <c r="A128" s="933"/>
      <c r="B128" s="1632" t="s">
        <v>3711</v>
      </c>
      <c r="C128" s="1632"/>
      <c r="D128" s="1632"/>
      <c r="E128" s="1632"/>
      <c r="F128" s="1632"/>
      <c r="G128" s="1632"/>
      <c r="H128" s="976" t="s">
        <v>401</v>
      </c>
      <c r="I128" s="1633"/>
      <c r="J128" s="1633"/>
      <c r="K128" s="960" t="s">
        <v>3712</v>
      </c>
      <c r="L128" s="976" t="s">
        <v>401</v>
      </c>
      <c r="M128" s="1633"/>
      <c r="N128" s="1633"/>
      <c r="O128" s="960" t="s">
        <v>3712</v>
      </c>
      <c r="P128" s="976" t="s">
        <v>401</v>
      </c>
      <c r="Q128" s="1633"/>
      <c r="R128" s="1633"/>
      <c r="S128" s="960" t="s">
        <v>3712</v>
      </c>
      <c r="T128" s="976" t="s">
        <v>401</v>
      </c>
      <c r="U128" s="1633"/>
      <c r="V128" s="1633"/>
      <c r="W128" s="960" t="s">
        <v>3712</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634" t="s">
        <v>3156</v>
      </c>
      <c r="B163" s="1634"/>
      <c r="C163" s="1634"/>
      <c r="D163" s="1634"/>
      <c r="E163" s="1634"/>
      <c r="F163" s="1634"/>
      <c r="G163" s="1634"/>
      <c r="H163" s="1634"/>
      <c r="I163" s="1634"/>
      <c r="J163" s="1634"/>
      <c r="K163" s="1634"/>
      <c r="L163" s="1634"/>
      <c r="M163" s="1634"/>
      <c r="N163" s="1634"/>
      <c r="O163" s="1634"/>
      <c r="P163" s="1634"/>
      <c r="Q163" s="1634"/>
      <c r="R163" s="1634"/>
      <c r="S163" s="1634"/>
      <c r="T163" s="1634"/>
      <c r="U163" s="1634"/>
      <c r="V163" s="1634"/>
      <c r="W163" s="1634"/>
      <c r="X163" s="1634"/>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3665</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3718</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3713</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3714</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635"/>
      <c r="L179" s="1635"/>
      <c r="M179" s="1635"/>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636"/>
      <c r="L181" s="1636"/>
      <c r="M181" s="1636"/>
      <c r="N181" s="933" t="s">
        <v>3715</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634" t="s">
        <v>3165</v>
      </c>
      <c r="B217" s="1634"/>
      <c r="C217" s="1634"/>
      <c r="D217" s="1634"/>
      <c r="E217" s="1634"/>
      <c r="F217" s="1634"/>
      <c r="G217" s="1634"/>
      <c r="H217" s="1634"/>
      <c r="I217" s="1634"/>
      <c r="J217" s="1634"/>
      <c r="K217" s="1634"/>
      <c r="L217" s="1634"/>
      <c r="M217" s="1634"/>
      <c r="N217" s="1634"/>
      <c r="O217" s="1634"/>
      <c r="P217" s="1634"/>
      <c r="Q217" s="1634"/>
      <c r="R217" s="1634"/>
      <c r="S217" s="1634"/>
      <c r="T217" s="1634"/>
      <c r="U217" s="1634"/>
      <c r="V217" s="1634"/>
      <c r="W217" s="1634"/>
      <c r="X217" s="1634"/>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631" t="str">
        <f>cst_wskakunin_owner2__space</f>
        <v/>
      </c>
      <c r="H220" s="1631"/>
      <c r="I220" s="1631"/>
      <c r="J220" s="1631"/>
      <c r="K220" s="1631"/>
      <c r="L220" s="1631"/>
      <c r="M220" s="1631"/>
      <c r="N220" s="1631"/>
      <c r="O220" s="1631"/>
      <c r="P220" s="1631"/>
      <c r="Q220" s="1631"/>
      <c r="R220" s="1631"/>
      <c r="S220" s="1631"/>
      <c r="T220" s="1631"/>
      <c r="U220" s="1631"/>
      <c r="V220" s="1631"/>
      <c r="W220" s="1631"/>
      <c r="X220" s="948"/>
      <c r="Y220" s="950" t="str">
        <f>HYPERLINK("#A55：X108")</f>
        <v>#A55：X108</v>
      </c>
      <c r="Z220" s="953" t="s">
        <v>3665</v>
      </c>
      <c r="AA220" s="954"/>
      <c r="AB220" s="955"/>
      <c r="AC220" s="955"/>
      <c r="AD220" s="955"/>
      <c r="AE220" s="955"/>
    </row>
    <row r="221" spans="1:34" s="942" customFormat="1" ht="15" customHeight="1">
      <c r="A221" s="933"/>
      <c r="B221" s="933"/>
      <c r="C221" s="933"/>
      <c r="D221" s="933"/>
      <c r="E221" s="933"/>
      <c r="F221" s="933"/>
      <c r="G221" s="1631"/>
      <c r="H221" s="1631"/>
      <c r="I221" s="1631"/>
      <c r="J221" s="1631"/>
      <c r="K221" s="1631"/>
      <c r="L221" s="1631"/>
      <c r="M221" s="1631"/>
      <c r="N221" s="1631"/>
      <c r="O221" s="1631"/>
      <c r="P221" s="1631"/>
      <c r="Q221" s="1631"/>
      <c r="R221" s="1631"/>
      <c r="S221" s="1631"/>
      <c r="T221" s="1631"/>
      <c r="U221" s="1631"/>
      <c r="V221" s="1631"/>
      <c r="W221" s="1631"/>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630" t="str">
        <f>cst_wskakunin_owner2_ZIP</f>
        <v/>
      </c>
      <c r="I222" s="1630"/>
      <c r="J222" s="1630"/>
      <c r="K222" s="1630"/>
      <c r="L222" s="1630"/>
      <c r="M222" s="1630"/>
      <c r="N222" s="1630"/>
      <c r="O222" s="1630"/>
      <c r="P222" s="1630"/>
      <c r="Q222" s="1630"/>
      <c r="R222" s="1630"/>
      <c r="S222" s="1630"/>
      <c r="T222" s="1630"/>
      <c r="U222" s="1630"/>
      <c r="V222" s="1630"/>
      <c r="W222" s="1630"/>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631" t="str">
        <f>cst_wskakunin_owner2__address</f>
        <v/>
      </c>
      <c r="H223" s="1631"/>
      <c r="I223" s="1631"/>
      <c r="J223" s="1631"/>
      <c r="K223" s="1631"/>
      <c r="L223" s="1631"/>
      <c r="M223" s="1631"/>
      <c r="N223" s="1631"/>
      <c r="O223" s="1631"/>
      <c r="P223" s="1631"/>
      <c r="Q223" s="1631"/>
      <c r="R223" s="1631"/>
      <c r="S223" s="1631"/>
      <c r="T223" s="1631"/>
      <c r="U223" s="1631"/>
      <c r="V223" s="1631"/>
      <c r="W223" s="1631"/>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631"/>
      <c r="H224" s="1631"/>
      <c r="I224" s="1631"/>
      <c r="J224" s="1631"/>
      <c r="K224" s="1631"/>
      <c r="L224" s="1631"/>
      <c r="M224" s="1631"/>
      <c r="N224" s="1631"/>
      <c r="O224" s="1631"/>
      <c r="P224" s="1631"/>
      <c r="Q224" s="1631"/>
      <c r="R224" s="1631"/>
      <c r="S224" s="1631"/>
      <c r="T224" s="1631"/>
      <c r="U224" s="1631"/>
      <c r="V224" s="1631"/>
      <c r="W224" s="1631"/>
      <c r="X224" s="948"/>
    </row>
    <row r="225" spans="1:27" s="934" customFormat="1" ht="15" customHeight="1">
      <c r="A225" s="933"/>
      <c r="B225" s="933" t="s">
        <v>22</v>
      </c>
      <c r="C225" s="933"/>
      <c r="D225" s="933"/>
      <c r="E225" s="933"/>
      <c r="F225" s="933"/>
      <c r="G225" s="1630" t="str">
        <f>cst_wskakunin_owner2_TEL</f>
        <v/>
      </c>
      <c r="H225" s="1630"/>
      <c r="I225" s="1630"/>
      <c r="J225" s="1630"/>
      <c r="K225" s="1630"/>
      <c r="L225" s="1630"/>
      <c r="M225" s="1630"/>
      <c r="N225" s="1630"/>
      <c r="O225" s="1630"/>
      <c r="P225" s="1630"/>
      <c r="Q225" s="1630"/>
      <c r="R225" s="1630"/>
      <c r="S225" s="1630"/>
      <c r="T225" s="1630"/>
      <c r="U225" s="1630"/>
      <c r="V225" s="1630"/>
      <c r="W225" s="1630"/>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631" t="str">
        <f>cst_wskakunin_owner3__space</f>
        <v/>
      </c>
      <c r="H228" s="1631"/>
      <c r="I228" s="1631"/>
      <c r="J228" s="1631"/>
      <c r="K228" s="1631"/>
      <c r="L228" s="1631"/>
      <c r="M228" s="1631"/>
      <c r="N228" s="1631"/>
      <c r="O228" s="1631"/>
      <c r="P228" s="1631"/>
      <c r="Q228" s="1631"/>
      <c r="R228" s="1631"/>
      <c r="S228" s="1631"/>
      <c r="T228" s="1631"/>
      <c r="U228" s="1631"/>
      <c r="V228" s="1631"/>
      <c r="W228" s="1631"/>
      <c r="X228" s="948"/>
      <c r="Z228" s="933"/>
      <c r="AA228" s="933"/>
    </row>
    <row r="229" spans="1:27" s="934" customFormat="1" ht="15" customHeight="1">
      <c r="A229" s="933"/>
      <c r="B229" s="933"/>
      <c r="C229" s="933"/>
      <c r="D229" s="933"/>
      <c r="E229" s="933"/>
      <c r="F229" s="933"/>
      <c r="G229" s="1631"/>
      <c r="H229" s="1631"/>
      <c r="I229" s="1631"/>
      <c r="J229" s="1631"/>
      <c r="K229" s="1631"/>
      <c r="L229" s="1631"/>
      <c r="M229" s="1631"/>
      <c r="N229" s="1631"/>
      <c r="O229" s="1631"/>
      <c r="P229" s="1631"/>
      <c r="Q229" s="1631"/>
      <c r="R229" s="1631"/>
      <c r="S229" s="1631"/>
      <c r="T229" s="1631"/>
      <c r="U229" s="1631"/>
      <c r="V229" s="1631"/>
      <c r="W229" s="1631"/>
      <c r="X229" s="948"/>
      <c r="Z229" s="933"/>
      <c r="AA229" s="933"/>
    </row>
    <row r="230" spans="1:27" s="934" customFormat="1" ht="15" customHeight="1">
      <c r="A230" s="933"/>
      <c r="B230" s="933" t="s">
        <v>20</v>
      </c>
      <c r="C230" s="933"/>
      <c r="D230" s="933"/>
      <c r="E230" s="933"/>
      <c r="F230" s="933"/>
      <c r="G230" s="952" t="s">
        <v>2429</v>
      </c>
      <c r="H230" s="1630" t="str">
        <f>cst_wskakunin_owner3_ZIP</f>
        <v/>
      </c>
      <c r="I230" s="1630"/>
      <c r="J230" s="1630"/>
      <c r="K230" s="1630"/>
      <c r="L230" s="1630"/>
      <c r="M230" s="1630"/>
      <c r="N230" s="1630"/>
      <c r="O230" s="1630"/>
      <c r="P230" s="1630"/>
      <c r="Q230" s="1630"/>
      <c r="R230" s="1630"/>
      <c r="S230" s="1630"/>
      <c r="T230" s="1630"/>
      <c r="U230" s="1630"/>
      <c r="V230" s="1630"/>
      <c r="W230" s="1630"/>
      <c r="X230" s="933"/>
      <c r="Z230" s="933"/>
      <c r="AA230" s="933"/>
    </row>
    <row r="231" spans="1:27" s="934" customFormat="1" ht="15" customHeight="1">
      <c r="A231" s="933"/>
      <c r="B231" s="933" t="s">
        <v>21</v>
      </c>
      <c r="C231" s="933"/>
      <c r="D231" s="933"/>
      <c r="E231" s="933"/>
      <c r="F231" s="933"/>
      <c r="G231" s="1631" t="str">
        <f>cst_wskakunin_owner3__address</f>
        <v/>
      </c>
      <c r="H231" s="1631"/>
      <c r="I231" s="1631"/>
      <c r="J231" s="1631"/>
      <c r="K231" s="1631"/>
      <c r="L231" s="1631"/>
      <c r="M231" s="1631"/>
      <c r="N231" s="1631"/>
      <c r="O231" s="1631"/>
      <c r="P231" s="1631"/>
      <c r="Q231" s="1631"/>
      <c r="R231" s="1631"/>
      <c r="S231" s="1631"/>
      <c r="T231" s="1631"/>
      <c r="U231" s="1631"/>
      <c r="V231" s="1631"/>
      <c r="W231" s="1631"/>
      <c r="X231" s="948"/>
      <c r="Z231" s="933"/>
      <c r="AA231" s="933"/>
    </row>
    <row r="232" spans="1:27" s="934" customFormat="1" ht="15" customHeight="1">
      <c r="A232" s="933"/>
      <c r="B232" s="933"/>
      <c r="C232" s="933"/>
      <c r="D232" s="933"/>
      <c r="E232" s="933"/>
      <c r="F232" s="933"/>
      <c r="G232" s="1631"/>
      <c r="H232" s="1631"/>
      <c r="I232" s="1631"/>
      <c r="J232" s="1631"/>
      <c r="K232" s="1631"/>
      <c r="L232" s="1631"/>
      <c r="M232" s="1631"/>
      <c r="N232" s="1631"/>
      <c r="O232" s="1631"/>
      <c r="P232" s="1631"/>
      <c r="Q232" s="1631"/>
      <c r="R232" s="1631"/>
      <c r="S232" s="1631"/>
      <c r="T232" s="1631"/>
      <c r="U232" s="1631"/>
      <c r="V232" s="1631"/>
      <c r="W232" s="1631"/>
      <c r="X232" s="948"/>
      <c r="Z232" s="933"/>
      <c r="AA232" s="933"/>
    </row>
    <row r="233" spans="1:27" s="934" customFormat="1" ht="15" customHeight="1">
      <c r="A233" s="933"/>
      <c r="B233" s="933" t="s">
        <v>22</v>
      </c>
      <c r="C233" s="933"/>
      <c r="D233" s="933"/>
      <c r="E233" s="933"/>
      <c r="F233" s="933"/>
      <c r="G233" s="1630" t="str">
        <f>cst_wskakunin_owner3_TEL</f>
        <v/>
      </c>
      <c r="H233" s="1630"/>
      <c r="I233" s="1630"/>
      <c r="J233" s="1630"/>
      <c r="K233" s="1630"/>
      <c r="L233" s="1630"/>
      <c r="M233" s="1630"/>
      <c r="N233" s="1630"/>
      <c r="O233" s="1630"/>
      <c r="P233" s="1630"/>
      <c r="Q233" s="1630"/>
      <c r="R233" s="1630"/>
      <c r="S233" s="1630"/>
      <c r="T233" s="1630"/>
      <c r="U233" s="1630"/>
      <c r="V233" s="1630"/>
      <c r="W233" s="1630"/>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631" t="str">
        <f>cst_wskakunin_owner4__space</f>
        <v/>
      </c>
      <c r="H236" s="1631"/>
      <c r="I236" s="1631"/>
      <c r="J236" s="1631"/>
      <c r="K236" s="1631"/>
      <c r="L236" s="1631"/>
      <c r="M236" s="1631"/>
      <c r="N236" s="1631"/>
      <c r="O236" s="1631"/>
      <c r="P236" s="1631"/>
      <c r="Q236" s="1631"/>
      <c r="R236" s="1631"/>
      <c r="S236" s="1631"/>
      <c r="T236" s="1631"/>
      <c r="U236" s="1631"/>
      <c r="V236" s="1631"/>
      <c r="W236" s="1631"/>
      <c r="X236" s="948"/>
      <c r="Z236" s="933"/>
      <c r="AA236" s="933"/>
    </row>
    <row r="237" spans="1:27" s="934" customFormat="1" ht="15" customHeight="1">
      <c r="A237" s="933"/>
      <c r="B237" s="933"/>
      <c r="C237" s="933"/>
      <c r="D237" s="933"/>
      <c r="E237" s="933"/>
      <c r="F237" s="933"/>
      <c r="G237" s="1631"/>
      <c r="H237" s="1631"/>
      <c r="I237" s="1631"/>
      <c r="J237" s="1631"/>
      <c r="K237" s="1631"/>
      <c r="L237" s="1631"/>
      <c r="M237" s="1631"/>
      <c r="N237" s="1631"/>
      <c r="O237" s="1631"/>
      <c r="P237" s="1631"/>
      <c r="Q237" s="1631"/>
      <c r="R237" s="1631"/>
      <c r="S237" s="1631"/>
      <c r="T237" s="1631"/>
      <c r="U237" s="1631"/>
      <c r="V237" s="1631"/>
      <c r="W237" s="1631"/>
      <c r="X237" s="948"/>
      <c r="Z237" s="933"/>
      <c r="AA237" s="933"/>
    </row>
    <row r="238" spans="1:27" s="934" customFormat="1" ht="15" customHeight="1">
      <c r="A238" s="933"/>
      <c r="B238" s="933" t="s">
        <v>20</v>
      </c>
      <c r="C238" s="933"/>
      <c r="D238" s="933"/>
      <c r="E238" s="933"/>
      <c r="F238" s="933"/>
      <c r="G238" s="952" t="s">
        <v>2429</v>
      </c>
      <c r="H238" s="1630" t="str">
        <f>cst_wskakunin_owner4_ZIP</f>
        <v/>
      </c>
      <c r="I238" s="1630"/>
      <c r="J238" s="1630"/>
      <c r="K238" s="1630"/>
      <c r="L238" s="1630"/>
      <c r="M238" s="1630"/>
      <c r="N238" s="1630"/>
      <c r="O238" s="1630"/>
      <c r="P238" s="1630"/>
      <c r="Q238" s="1630"/>
      <c r="R238" s="1630"/>
      <c r="S238" s="1630"/>
      <c r="T238" s="1630"/>
      <c r="U238" s="1630"/>
      <c r="V238" s="1630"/>
      <c r="W238" s="1630"/>
      <c r="X238" s="933"/>
      <c r="Z238" s="933"/>
      <c r="AA238" s="933"/>
    </row>
    <row r="239" spans="1:27" s="934" customFormat="1" ht="15" customHeight="1">
      <c r="A239" s="933"/>
      <c r="B239" s="933" t="s">
        <v>21</v>
      </c>
      <c r="C239" s="933"/>
      <c r="D239" s="933"/>
      <c r="E239" s="933"/>
      <c r="F239" s="933"/>
      <c r="G239" s="1631" t="str">
        <f>cst_wskakunin_owner4__address</f>
        <v/>
      </c>
      <c r="H239" s="1631"/>
      <c r="I239" s="1631"/>
      <c r="J239" s="1631"/>
      <c r="K239" s="1631"/>
      <c r="L239" s="1631"/>
      <c r="M239" s="1631"/>
      <c r="N239" s="1631"/>
      <c r="O239" s="1631"/>
      <c r="P239" s="1631"/>
      <c r="Q239" s="1631"/>
      <c r="R239" s="1631"/>
      <c r="S239" s="1631"/>
      <c r="T239" s="1631"/>
      <c r="U239" s="1631"/>
      <c r="V239" s="1631"/>
      <c r="W239" s="1631"/>
      <c r="X239" s="948"/>
      <c r="Z239" s="933"/>
      <c r="AA239" s="933"/>
    </row>
    <row r="240" spans="1:27" s="934" customFormat="1" ht="15" customHeight="1">
      <c r="A240" s="933"/>
      <c r="B240" s="933"/>
      <c r="C240" s="933"/>
      <c r="D240" s="933"/>
      <c r="E240" s="933"/>
      <c r="F240" s="933"/>
      <c r="G240" s="1631"/>
      <c r="H240" s="1631"/>
      <c r="I240" s="1631"/>
      <c r="J240" s="1631"/>
      <c r="K240" s="1631"/>
      <c r="L240" s="1631"/>
      <c r="M240" s="1631"/>
      <c r="N240" s="1631"/>
      <c r="O240" s="1631"/>
      <c r="P240" s="1631"/>
      <c r="Q240" s="1631"/>
      <c r="R240" s="1631"/>
      <c r="S240" s="1631"/>
      <c r="T240" s="1631"/>
      <c r="U240" s="1631"/>
      <c r="V240" s="1631"/>
      <c r="W240" s="1631"/>
      <c r="X240" s="948"/>
      <c r="Z240" s="933"/>
      <c r="AA240" s="933"/>
    </row>
    <row r="241" spans="1:27" s="934" customFormat="1" ht="15" customHeight="1">
      <c r="A241" s="933"/>
      <c r="B241" s="933" t="s">
        <v>22</v>
      </c>
      <c r="C241" s="933"/>
      <c r="D241" s="933"/>
      <c r="E241" s="933"/>
      <c r="F241" s="933"/>
      <c r="G241" s="1630" t="str">
        <f>cst_wskakunin_owner4_TEL</f>
        <v/>
      </c>
      <c r="H241" s="1630"/>
      <c r="I241" s="1630"/>
      <c r="J241" s="1630"/>
      <c r="K241" s="1630"/>
      <c r="L241" s="1630"/>
      <c r="M241" s="1630"/>
      <c r="N241" s="1630"/>
      <c r="O241" s="1630"/>
      <c r="P241" s="1630"/>
      <c r="Q241" s="1630"/>
      <c r="R241" s="1630"/>
      <c r="S241" s="1630"/>
      <c r="T241" s="1630"/>
      <c r="U241" s="1630"/>
      <c r="V241" s="1630"/>
      <c r="W241" s="1630"/>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G23:W24"/>
    <mergeCell ref="A3:X3"/>
    <mergeCell ref="A4:X5"/>
    <mergeCell ref="A6:X6"/>
    <mergeCell ref="Q8:W8"/>
    <mergeCell ref="G12:W13"/>
    <mergeCell ref="H14:W14"/>
    <mergeCell ref="G15:W16"/>
    <mergeCell ref="G17:W17"/>
    <mergeCell ref="G19:W19"/>
    <mergeCell ref="G20:W21"/>
    <mergeCell ref="H22:W22"/>
    <mergeCell ref="G43:W44"/>
    <mergeCell ref="G25:W25"/>
    <mergeCell ref="G27:W27"/>
    <mergeCell ref="G28:W29"/>
    <mergeCell ref="H30:W30"/>
    <mergeCell ref="G31:W32"/>
    <mergeCell ref="G33:W33"/>
    <mergeCell ref="I35:P35"/>
    <mergeCell ref="I36:P36"/>
    <mergeCell ref="G40:W40"/>
    <mergeCell ref="G41:W41"/>
    <mergeCell ref="H42:W42"/>
    <mergeCell ref="G45:W45"/>
    <mergeCell ref="A55:X55"/>
    <mergeCell ref="I57:M57"/>
    <mergeCell ref="I58:M58"/>
    <mergeCell ref="J61:K61"/>
    <mergeCell ref="M61:P61"/>
    <mergeCell ref="R61:T61"/>
    <mergeCell ref="J62:K62"/>
    <mergeCell ref="M62:P62"/>
    <mergeCell ref="R62:T62"/>
    <mergeCell ref="F68:W70"/>
    <mergeCell ref="H82:J82"/>
    <mergeCell ref="N82:P82"/>
    <mergeCell ref="T82:V82"/>
    <mergeCell ref="B92:F92"/>
    <mergeCell ref="H93:L93"/>
    <mergeCell ref="N93:R93"/>
    <mergeCell ref="T93:X93"/>
    <mergeCell ref="H96:L96"/>
    <mergeCell ref="N96:R96"/>
    <mergeCell ref="T96:X96"/>
    <mergeCell ref="H98:I98"/>
    <mergeCell ref="N98:O98"/>
    <mergeCell ref="T98:U98"/>
    <mergeCell ref="H100:J100"/>
    <mergeCell ref="N100:P100"/>
    <mergeCell ref="T100:V100"/>
    <mergeCell ref="H101:I101"/>
    <mergeCell ref="N101:O101"/>
    <mergeCell ref="T101:U101"/>
    <mergeCell ref="H103:I103"/>
    <mergeCell ref="N103:O103"/>
    <mergeCell ref="T103:U103"/>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G223:W224"/>
    <mergeCell ref="B128:G128"/>
    <mergeCell ref="I128:J128"/>
    <mergeCell ref="M128:N128"/>
    <mergeCell ref="Q128:R128"/>
    <mergeCell ref="U128:V128"/>
    <mergeCell ref="A163:X163"/>
    <mergeCell ref="K179:M179"/>
    <mergeCell ref="K181:M181"/>
    <mergeCell ref="A217:X217"/>
    <mergeCell ref="G220:W221"/>
    <mergeCell ref="H222:W222"/>
    <mergeCell ref="H238:W238"/>
    <mergeCell ref="G239:W240"/>
    <mergeCell ref="G241:W241"/>
    <mergeCell ref="G225:W225"/>
    <mergeCell ref="G228:W229"/>
    <mergeCell ref="H230:W230"/>
    <mergeCell ref="G231:W232"/>
    <mergeCell ref="G233:W233"/>
    <mergeCell ref="G236:W237"/>
  </mergeCells>
  <phoneticPr fontId="139"/>
  <dataValidations count="2">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500-000000000000}">
      <formula1>"　,1,2,3"</formula1>
    </dataValidation>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500-000001000000}">
      <formula1>"　,01,02,03,04,05"</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allowBlank="1" showInputMessage="1" showErrorMessage="1" xr:uid="{9F57AAED-7F37-4315-9E94-7CEE6275BC5A}">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 type="list" allowBlank="1" showInputMessage="1" prompt="選択" xr:uid="{35BB8A9A-E033-4196-BBB8-FCCD3C99085B}">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5117038483843"/>
  </sheetPr>
  <dimension ref="A1:X47"/>
  <sheetViews>
    <sheetView workbookViewId="0"/>
  </sheetViews>
  <sheetFormatPr defaultColWidth="3.625" defaultRowHeight="15" customHeight="1"/>
  <cols>
    <col min="1" max="1" width="3.625" style="547" customWidth="1"/>
    <col min="2" max="16384" width="3.625" style="547"/>
  </cols>
  <sheetData>
    <row r="1" spans="1:24" ht="13.5">
      <c r="A1" s="547" t="s">
        <v>3170</v>
      </c>
    </row>
    <row r="4" spans="1:24" ht="13.5">
      <c r="A4" s="1622" t="s">
        <v>2775</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row>
    <row r="5" spans="1:24" ht="13.5">
      <c r="A5" s="1622"/>
      <c r="B5" s="1622"/>
      <c r="C5" s="1622"/>
      <c r="D5" s="1622"/>
      <c r="E5" s="1622"/>
      <c r="F5" s="1622"/>
      <c r="G5" s="1622"/>
      <c r="H5" s="1622"/>
      <c r="I5" s="1622"/>
      <c r="J5" s="1622"/>
      <c r="K5" s="1622"/>
      <c r="L5" s="1622"/>
      <c r="M5" s="1622"/>
      <c r="N5" s="1622"/>
      <c r="O5" s="1622"/>
      <c r="P5" s="1622"/>
      <c r="Q5" s="1622"/>
      <c r="R5" s="1622"/>
      <c r="S5" s="1622"/>
      <c r="T5" s="1622"/>
      <c r="U5" s="1622"/>
      <c r="V5" s="1622"/>
      <c r="W5" s="1622"/>
      <c r="X5" s="1622"/>
    </row>
    <row r="6" spans="1:24" ht="17.25">
      <c r="A6" s="556"/>
      <c r="B6" s="556"/>
      <c r="C6" s="556"/>
      <c r="D6" s="556"/>
      <c r="E6" s="556"/>
      <c r="F6" s="556"/>
      <c r="G6" s="556"/>
      <c r="H6" s="556"/>
      <c r="I6" s="556"/>
      <c r="J6" s="556"/>
      <c r="K6" s="556"/>
      <c r="L6" s="556"/>
      <c r="M6" s="556"/>
      <c r="N6" s="556"/>
      <c r="O6" s="556"/>
      <c r="P6" s="556"/>
      <c r="Q6" s="556"/>
      <c r="R6" s="556"/>
      <c r="S6" s="556"/>
      <c r="T6" s="556"/>
      <c r="U6" s="556"/>
      <c r="V6" s="556"/>
      <c r="W6" s="556"/>
      <c r="X6" s="556"/>
    </row>
    <row r="8" spans="1:24" ht="13.5">
      <c r="Q8" s="1629" t="s">
        <v>3089</v>
      </c>
      <c r="R8" s="1629"/>
      <c r="S8" s="566"/>
      <c r="T8" s="551" t="s">
        <v>371</v>
      </c>
      <c r="U8" s="566"/>
      <c r="V8" s="551" t="s">
        <v>4</v>
      </c>
      <c r="W8" s="566"/>
      <c r="X8" s="551" t="s">
        <v>373</v>
      </c>
    </row>
    <row r="9" spans="1:24" ht="13.5">
      <c r="R9" s="567"/>
      <c r="S9" s="551"/>
      <c r="T9" s="551"/>
      <c r="U9" s="551"/>
      <c r="V9" s="551"/>
      <c r="W9" s="551"/>
      <c r="X9" s="551"/>
    </row>
    <row r="11" spans="1:24" ht="13.5">
      <c r="A11" s="547" t="str">
        <f ca="1">cst_Pre_Corp__SHINSEI</f>
        <v>一般財団法人　岩手県建築住宅センター</v>
      </c>
    </row>
    <row r="12" spans="1:24" ht="13.5">
      <c r="A12" s="547" t="str">
        <f ca="1">"　　"&amp;cst_Pre_Daihyou__SHINSEI&amp;"　様"</f>
        <v>　　理事長　　渡 邊 健 治　様</v>
      </c>
    </row>
    <row r="15" spans="1:24" ht="13.5">
      <c r="O15" s="567" t="s">
        <v>3171</v>
      </c>
      <c r="Q15" s="1628" t="str">
        <f>cst_wskakunin_owner1__address</f>
        <v/>
      </c>
      <c r="R15" s="1628"/>
      <c r="S15" s="1628"/>
      <c r="T15" s="1628"/>
      <c r="U15" s="1628"/>
      <c r="V15" s="1628"/>
      <c r="W15" s="1628"/>
      <c r="X15" s="551"/>
    </row>
    <row r="16" spans="1:24" ht="13.5">
      <c r="Q16" s="1628"/>
      <c r="R16" s="1628"/>
      <c r="S16" s="1628"/>
      <c r="T16" s="1628"/>
      <c r="U16" s="1628"/>
      <c r="V16" s="1628"/>
      <c r="W16" s="1628"/>
      <c r="X16" s="551"/>
    </row>
    <row r="17" spans="1:24" ht="13.5">
      <c r="O17" s="567" t="s">
        <v>19</v>
      </c>
      <c r="Q17" s="1628" t="str">
        <f>cst_wskakunin_owner1__space</f>
        <v/>
      </c>
      <c r="R17" s="1628"/>
      <c r="S17" s="1628"/>
      <c r="T17" s="1628"/>
      <c r="U17" s="1628"/>
      <c r="V17" s="1628"/>
      <c r="W17" s="1628"/>
      <c r="X17" s="551" t="s">
        <v>372</v>
      </c>
    </row>
    <row r="18" spans="1:24" ht="13.5">
      <c r="Q18" s="1628"/>
      <c r="R18" s="1628"/>
      <c r="S18" s="1628"/>
      <c r="T18" s="1628"/>
      <c r="U18" s="1628"/>
      <c r="V18" s="1628"/>
      <c r="W18" s="1628"/>
      <c r="X18" s="551"/>
    </row>
    <row r="19" spans="1:24" ht="13.5">
      <c r="Q19" s="1628" t="str">
        <f>cst_wskakunin_owner2__space</f>
        <v/>
      </c>
      <c r="R19" s="1628"/>
      <c r="S19" s="1628"/>
      <c r="T19" s="1628"/>
      <c r="U19" s="1628"/>
      <c r="V19" s="1628"/>
      <c r="W19" s="1628"/>
      <c r="X19" s="568" t="str">
        <f>IF(Q19="","","印")</f>
        <v/>
      </c>
    </row>
    <row r="20" spans="1:24" ht="13.5">
      <c r="Q20" s="1628"/>
      <c r="R20" s="1628"/>
      <c r="S20" s="1628"/>
      <c r="T20" s="1628"/>
      <c r="U20" s="1628"/>
      <c r="V20" s="1628"/>
      <c r="W20" s="1628"/>
    </row>
    <row r="21" spans="1:24" ht="13.5">
      <c r="Q21" s="1628" t="str">
        <f>cst_wskakunin_owner3__space</f>
        <v/>
      </c>
      <c r="R21" s="1628"/>
      <c r="S21" s="1628"/>
      <c r="T21" s="1628"/>
      <c r="U21" s="1628"/>
      <c r="V21" s="1628"/>
      <c r="W21" s="1628"/>
      <c r="X21" s="568" t="str">
        <f>IF(Q21="","","印")</f>
        <v/>
      </c>
    </row>
    <row r="22" spans="1:24" ht="13.5">
      <c r="Q22" s="1628"/>
      <c r="R22" s="1628"/>
      <c r="S22" s="1628"/>
      <c r="T22" s="1628"/>
      <c r="U22" s="1628"/>
      <c r="V22" s="1628"/>
      <c r="W22" s="1628"/>
    </row>
    <row r="23" spans="1:24" ht="13.5">
      <c r="Q23" s="1628" t="str">
        <f>cst_wskakunin_owner4__space</f>
        <v/>
      </c>
      <c r="R23" s="1628"/>
      <c r="S23" s="1628"/>
      <c r="T23" s="1628"/>
      <c r="U23" s="1628"/>
      <c r="V23" s="1628"/>
      <c r="W23" s="1628"/>
      <c r="X23" s="568" t="str">
        <f>IF(Q23="","","印")</f>
        <v/>
      </c>
    </row>
    <row r="24" spans="1:24" ht="13.5">
      <c r="Q24" s="1628"/>
      <c r="R24" s="1628"/>
      <c r="S24" s="1628"/>
      <c r="T24" s="1628"/>
      <c r="U24" s="1628"/>
      <c r="V24" s="1628"/>
      <c r="W24" s="1628"/>
    </row>
    <row r="25" spans="1:24" ht="13.5">
      <c r="B25" s="547" t="s">
        <v>3172</v>
      </c>
    </row>
    <row r="27" spans="1:24" ht="24.95" customHeight="1">
      <c r="A27" s="1657" t="s">
        <v>3173</v>
      </c>
      <c r="B27" s="1657"/>
      <c r="C27" s="1657"/>
      <c r="D27" s="1657"/>
      <c r="E27" s="1657"/>
      <c r="F27" s="1657"/>
      <c r="G27" s="1657"/>
      <c r="H27" s="1658" t="str">
        <f>cst_wskakunin_owner1__space&amp;" "&amp;cst_wskakunin_owner2__space&amp;" "&amp;cst_wskakunin_owner3__space&amp;" "&amp;cst_wskakunin_owner4__space</f>
        <v xml:space="preserve">   </v>
      </c>
      <c r="I27" s="1658"/>
      <c r="J27" s="1658"/>
      <c r="K27" s="1658"/>
      <c r="L27" s="1658"/>
      <c r="M27" s="1658"/>
      <c r="N27" s="1658"/>
      <c r="O27" s="1658"/>
      <c r="P27" s="1658"/>
      <c r="Q27" s="1658"/>
      <c r="R27" s="1658"/>
      <c r="S27" s="1658"/>
      <c r="T27" s="1658"/>
      <c r="U27" s="1658"/>
      <c r="V27" s="1658"/>
      <c r="W27" s="1658"/>
      <c r="X27" s="1658"/>
    </row>
    <row r="28" spans="1:24" ht="50.1" customHeight="1">
      <c r="A28" s="1657" t="s">
        <v>3174</v>
      </c>
      <c r="B28" s="1657"/>
      <c r="C28" s="1657"/>
      <c r="D28" s="1657"/>
      <c r="E28" s="1657"/>
      <c r="F28" s="1657"/>
      <c r="G28" s="1657"/>
      <c r="H28" s="1658" t="str">
        <f>cst_wskakunin_BUILD__address</f>
        <v/>
      </c>
      <c r="I28" s="1658"/>
      <c r="J28" s="1658"/>
      <c r="K28" s="1658"/>
      <c r="L28" s="1658"/>
      <c r="M28" s="1658"/>
      <c r="N28" s="1658"/>
      <c r="O28" s="1658"/>
      <c r="P28" s="1658"/>
      <c r="Q28" s="1658"/>
      <c r="R28" s="1658"/>
      <c r="S28" s="1658"/>
      <c r="T28" s="1658"/>
      <c r="U28" s="1658"/>
      <c r="V28" s="1658"/>
      <c r="W28" s="1658"/>
      <c r="X28" s="1658"/>
    </row>
    <row r="29" spans="1:24" ht="24.95" customHeight="1">
      <c r="A29" s="1654" t="s">
        <v>3175</v>
      </c>
      <c r="B29" s="1654"/>
      <c r="C29" s="1654"/>
      <c r="D29" s="1654"/>
      <c r="E29" s="1654"/>
      <c r="F29" s="1654"/>
      <c r="G29" s="1654"/>
      <c r="H29" s="1655" t="str">
        <f>cst_wskakunin_SHIKITI_MENSEKI_1_TOTAL</f>
        <v/>
      </c>
      <c r="I29" s="1656"/>
      <c r="J29" s="1656"/>
      <c r="K29" s="1656"/>
      <c r="L29" s="569" t="s">
        <v>3146</v>
      </c>
      <c r="M29" s="569"/>
      <c r="N29" s="569"/>
      <c r="O29" s="569"/>
      <c r="P29" s="569"/>
      <c r="Q29" s="569"/>
      <c r="R29" s="569"/>
      <c r="S29" s="569"/>
      <c r="T29" s="569"/>
      <c r="U29" s="569"/>
      <c r="V29" s="569"/>
      <c r="W29" s="569"/>
      <c r="X29" s="570"/>
    </row>
    <row r="30" spans="1:24" ht="24.95" customHeight="1">
      <c r="A30" s="1659" t="s">
        <v>3176</v>
      </c>
      <c r="B30" s="1659"/>
      <c r="C30" s="1659"/>
      <c r="D30" s="1659"/>
      <c r="E30" s="1659"/>
      <c r="F30" s="1659"/>
      <c r="G30" s="1659"/>
      <c r="H30" s="1662" t="str">
        <f>cst_wskakunin_p4_1_KOUZOU1</f>
        <v/>
      </c>
      <c r="I30" s="1663"/>
      <c r="J30" s="1663"/>
      <c r="K30" s="1663"/>
      <c r="L30" s="569"/>
      <c r="M30" s="569" t="s">
        <v>3177</v>
      </c>
      <c r="N30" s="571" t="str">
        <f>cst_wskakunin_p4_1_KAISU_TIKAI_NOZOKU</f>
        <v/>
      </c>
      <c r="O30" s="569" t="s">
        <v>3178</v>
      </c>
      <c r="P30" s="569"/>
      <c r="Q30" s="569"/>
      <c r="R30" s="569"/>
      <c r="S30" s="569"/>
      <c r="T30" s="569"/>
      <c r="U30" s="569"/>
      <c r="V30" s="569"/>
      <c r="W30" s="569"/>
      <c r="X30" s="570"/>
    </row>
    <row r="31" spans="1:24" ht="24.95" customHeight="1">
      <c r="A31" s="1657" t="s">
        <v>3179</v>
      </c>
      <c r="B31" s="1657"/>
      <c r="C31" s="1657"/>
      <c r="D31" s="1657"/>
      <c r="E31" s="1657"/>
      <c r="F31" s="1657"/>
      <c r="G31" s="1657"/>
      <c r="H31" s="1664" t="str">
        <f>IF(cst_wsjob_JOB_INPUT_VERSION="","",IF(cst_wsjob_JOB_INPUT_VERSION&gt;=6,cst_wskakunin_KENTIKU_MENSEKI_ZENTAI_SHINSEI,cst_wskakunin_KENTIKU_MENSEKI_SHINSEI))</f>
        <v/>
      </c>
      <c r="I31" s="1665"/>
      <c r="J31" s="1665"/>
      <c r="K31" s="1665"/>
      <c r="L31" s="572" t="s">
        <v>3146</v>
      </c>
      <c r="M31" s="572" t="s">
        <v>3177</v>
      </c>
      <c r="N31" s="1656" t="str">
        <f>cst_wskakunin_NOBE_MENSEKI_BUILD_SHINSEI</f>
        <v/>
      </c>
      <c r="O31" s="1656"/>
      <c r="P31" s="1656"/>
      <c r="Q31" s="1656"/>
      <c r="R31" s="572" t="s">
        <v>3146</v>
      </c>
      <c r="S31" s="572"/>
      <c r="T31" s="572"/>
      <c r="U31" s="572"/>
      <c r="V31" s="572"/>
      <c r="W31" s="572"/>
      <c r="X31" s="570"/>
    </row>
    <row r="32" spans="1:24" ht="20.100000000000001" customHeight="1">
      <c r="A32" s="1666" t="s">
        <v>3180</v>
      </c>
      <c r="B32" s="1667"/>
      <c r="C32" s="1667"/>
      <c r="D32" s="1667"/>
      <c r="E32" s="1667"/>
      <c r="F32" s="1667"/>
      <c r="G32" s="1668"/>
      <c r="H32" s="1669" t="s">
        <v>376</v>
      </c>
      <c r="I32" s="1670"/>
      <c r="J32" s="1670"/>
      <c r="K32" s="1670"/>
      <c r="L32" s="1670"/>
      <c r="M32" s="1670"/>
      <c r="N32" s="1670"/>
      <c r="O32" s="1670"/>
      <c r="P32" s="1670"/>
      <c r="Q32" s="573" t="s">
        <v>3181</v>
      </c>
      <c r="R32" s="573"/>
      <c r="S32" s="573"/>
      <c r="T32" s="573"/>
      <c r="U32" s="573"/>
      <c r="V32" s="573"/>
      <c r="W32" s="573"/>
      <c r="X32" s="574"/>
    </row>
    <row r="33" spans="1:24" ht="20.100000000000001" customHeight="1">
      <c r="A33" s="575"/>
      <c r="B33" s="576"/>
      <c r="C33" s="576"/>
      <c r="D33" s="576"/>
      <c r="E33" s="576"/>
      <c r="F33" s="576"/>
      <c r="G33" s="577"/>
      <c r="H33" s="578"/>
      <c r="I33" s="578" t="s">
        <v>401</v>
      </c>
      <c r="J33" s="579"/>
      <c r="K33" s="578" t="s">
        <v>3182</v>
      </c>
      <c r="L33" s="578"/>
      <c r="M33" s="579"/>
      <c r="N33" s="578" t="s">
        <v>3183</v>
      </c>
      <c r="O33" s="578"/>
      <c r="Q33" s="579"/>
      <c r="R33" s="578" t="s">
        <v>3184</v>
      </c>
      <c r="S33" s="578"/>
      <c r="T33" s="579"/>
      <c r="U33" s="578" t="s">
        <v>3185</v>
      </c>
      <c r="W33" s="578"/>
      <c r="X33" s="580" t="s">
        <v>6</v>
      </c>
    </row>
    <row r="34" spans="1:24" ht="24.95" customHeight="1">
      <c r="A34" s="1659" t="s">
        <v>3186</v>
      </c>
      <c r="B34" s="1659"/>
      <c r="C34" s="1659"/>
      <c r="D34" s="1659"/>
      <c r="E34" s="1659"/>
      <c r="F34" s="1659"/>
      <c r="G34" s="1659"/>
      <c r="H34" s="1660"/>
      <c r="I34" s="1660"/>
      <c r="J34" s="1660"/>
      <c r="K34" s="1660"/>
      <c r="L34" s="1660"/>
      <c r="M34" s="569" t="s">
        <v>3187</v>
      </c>
      <c r="N34" s="569"/>
      <c r="O34" s="569"/>
      <c r="P34" s="569"/>
      <c r="Q34" s="569"/>
      <c r="R34" s="569"/>
      <c r="S34" s="569"/>
      <c r="T34" s="569"/>
      <c r="U34" s="569"/>
      <c r="V34" s="569"/>
      <c r="W34" s="569"/>
      <c r="X34" s="580"/>
    </row>
    <row r="35" spans="1:24" ht="13.5">
      <c r="A35" s="581"/>
      <c r="B35" s="581"/>
      <c r="C35" s="581"/>
      <c r="D35" s="581"/>
      <c r="E35" s="581"/>
      <c r="F35" s="581"/>
      <c r="G35" s="581"/>
      <c r="H35" s="551"/>
      <c r="I35" s="551"/>
      <c r="J35" s="551"/>
      <c r="K35" s="551"/>
      <c r="L35" s="551"/>
    </row>
    <row r="36" spans="1:24" ht="13.5">
      <c r="A36" s="1661" t="s">
        <v>3188</v>
      </c>
      <c r="B36" s="1661"/>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row>
    <row r="47" spans="1:24" ht="13.5">
      <c r="A47" s="1624" t="s">
        <v>3189</v>
      </c>
      <c r="B47" s="1624"/>
      <c r="C47" s="1624"/>
      <c r="D47" s="1624"/>
      <c r="E47" s="1624"/>
      <c r="F47" s="1624"/>
      <c r="G47" s="1624"/>
      <c r="H47" s="1624"/>
      <c r="I47" s="1624"/>
      <c r="J47" s="1624"/>
      <c r="K47" s="1624"/>
      <c r="L47" s="1624"/>
      <c r="M47" s="1624"/>
      <c r="N47" s="1624"/>
      <c r="O47" s="1624"/>
      <c r="P47" s="1624"/>
      <c r="Q47" s="1624"/>
      <c r="R47" s="1624"/>
      <c r="S47" s="1624"/>
      <c r="T47" s="1624"/>
      <c r="U47" s="1624"/>
      <c r="V47" s="1624"/>
      <c r="W47" s="1624"/>
      <c r="X47" s="1624"/>
    </row>
  </sheetData>
  <mergeCells count="24">
    <mergeCell ref="A34:G34"/>
    <mergeCell ref="H34:L34"/>
    <mergeCell ref="A36:X36"/>
    <mergeCell ref="A47:X47"/>
    <mergeCell ref="A30:G30"/>
    <mergeCell ref="H30:K30"/>
    <mergeCell ref="A31:G31"/>
    <mergeCell ref="H31:K31"/>
    <mergeCell ref="N31:Q31"/>
    <mergeCell ref="A32:G32"/>
    <mergeCell ref="H32:P32"/>
    <mergeCell ref="A29:G29"/>
    <mergeCell ref="H29:K29"/>
    <mergeCell ref="A4:X5"/>
    <mergeCell ref="Q8:R8"/>
    <mergeCell ref="Q15:W16"/>
    <mergeCell ref="Q17:W18"/>
    <mergeCell ref="Q19:W20"/>
    <mergeCell ref="Q21:W22"/>
    <mergeCell ref="Q23:W24"/>
    <mergeCell ref="A27:G27"/>
    <mergeCell ref="H27:X27"/>
    <mergeCell ref="A28:G28"/>
    <mergeCell ref="H28:X28"/>
  </mergeCells>
  <phoneticPr fontId="139"/>
  <dataValidations count="2">
    <dataValidation allowBlank="1" showInputMessage="1" showErrorMessage="1" sqref="S8 U8 W8" xr:uid="{00000000-0002-0000-1600-000000000000}"/>
    <dataValidation type="list" allowBlank="1" showInputMessage="1" showErrorMessage="1" sqref="H32:P32" xr:uid="{00000000-0002-0000-16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43010"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43011" r:id="rId6" name="Check Box 3">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43012" r:id="rId7" name="Check Box 4">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1672" t="s">
        <v>2786</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row>
    <row r="2" spans="1:24" ht="15" customHeigh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row>
    <row r="4" spans="1:24" ht="15" customHeight="1">
      <c r="A4" s="582"/>
      <c r="Q4" s="1673" t="s">
        <v>3089</v>
      </c>
      <c r="R4" s="1673"/>
      <c r="S4" s="583"/>
      <c r="T4" s="584" t="s">
        <v>371</v>
      </c>
      <c r="U4" s="583"/>
      <c r="V4" s="584" t="s">
        <v>4</v>
      </c>
      <c r="W4" s="583"/>
      <c r="X4" s="584" t="s">
        <v>373</v>
      </c>
    </row>
    <row r="5" spans="1:24" ht="15" customHeight="1">
      <c r="A5" s="582"/>
      <c r="R5" s="585"/>
      <c r="S5" s="310"/>
      <c r="T5" s="310"/>
      <c r="U5" s="310"/>
      <c r="V5" s="310"/>
      <c r="W5" s="310"/>
      <c r="X5" s="310"/>
    </row>
    <row r="6" spans="1:24" ht="15" customHeight="1">
      <c r="A6" s="582" t="str">
        <f ca="1">cst_Pre_Corp__SHINSEI</f>
        <v>一般財団法人　岩手県建築住宅センター</v>
      </c>
    </row>
    <row r="7" spans="1:24" ht="15" customHeight="1">
      <c r="A7" s="582" t="str">
        <f ca="1">"　　"&amp;cst_Pre_Daihyou__SHINSEI&amp;"　様"</f>
        <v>　　理事長　　渡 邊 健 治　様</v>
      </c>
    </row>
    <row r="8" spans="1:24" ht="15" customHeight="1">
      <c r="A8" s="582"/>
    </row>
    <row r="9" spans="1:24" ht="15" customHeight="1">
      <c r="A9" s="582"/>
      <c r="O9" s="585" t="s">
        <v>3190</v>
      </c>
      <c r="Q9" s="1671" t="str">
        <f>cst_wskakunin_owner1__address</f>
        <v/>
      </c>
      <c r="R9" s="1671"/>
      <c r="S9" s="1671"/>
      <c r="T9" s="1671"/>
      <c r="U9" s="1671"/>
      <c r="V9" s="1671"/>
      <c r="W9" s="1671"/>
      <c r="X9" s="310"/>
    </row>
    <row r="10" spans="1:24" ht="15" customHeight="1">
      <c r="A10" s="582"/>
      <c r="Q10" s="1671"/>
      <c r="R10" s="1671"/>
      <c r="S10" s="1671"/>
      <c r="T10" s="1671"/>
      <c r="U10" s="1671"/>
      <c r="V10" s="1671"/>
      <c r="W10" s="1671"/>
      <c r="X10" s="310"/>
    </row>
    <row r="11" spans="1:24" ht="15" customHeight="1">
      <c r="A11" s="582"/>
      <c r="O11" s="585" t="s">
        <v>19</v>
      </c>
      <c r="Q11" s="1671" t="str">
        <f>cst_wskakunin_owner1__space</f>
        <v/>
      </c>
      <c r="R11" s="1671"/>
      <c r="S11" s="1671"/>
      <c r="T11" s="1671"/>
      <c r="U11" s="1671"/>
      <c r="V11" s="1671"/>
      <c r="W11" s="1671"/>
      <c r="X11" s="310" t="s">
        <v>372</v>
      </c>
    </row>
    <row r="12" spans="1:24" ht="15" customHeight="1">
      <c r="A12" s="582"/>
      <c r="Q12" s="1671"/>
      <c r="R12" s="1671"/>
      <c r="S12" s="1671"/>
      <c r="T12" s="1671"/>
      <c r="U12" s="1671"/>
      <c r="V12" s="1671"/>
      <c r="W12" s="1671"/>
      <c r="X12" s="310"/>
    </row>
    <row r="13" spans="1:24" ht="15" customHeight="1">
      <c r="A13" s="582"/>
      <c r="Q13" s="1671" t="str">
        <f>cst_wskakunin_owner2__space</f>
        <v/>
      </c>
      <c r="R13" s="1671"/>
      <c r="S13" s="1671"/>
      <c r="T13" s="1671"/>
      <c r="U13" s="1671"/>
      <c r="V13" s="1671"/>
      <c r="W13" s="1671"/>
      <c r="X13" s="586" t="str">
        <f>IF(Q13="","","印")</f>
        <v/>
      </c>
    </row>
    <row r="14" spans="1:24" ht="15" customHeight="1">
      <c r="A14" s="582"/>
      <c r="Q14" s="1671"/>
      <c r="R14" s="1671"/>
      <c r="S14" s="1671"/>
      <c r="T14" s="1671"/>
      <c r="U14" s="1671"/>
      <c r="V14" s="1671"/>
      <c r="W14" s="1671"/>
    </row>
    <row r="15" spans="1:24" ht="15" customHeight="1">
      <c r="A15" s="582"/>
      <c r="Q15" s="1671" t="str">
        <f>cst_wskakunin_owner3__space</f>
        <v/>
      </c>
      <c r="R15" s="1671"/>
      <c r="S15" s="1671"/>
      <c r="T15" s="1671"/>
      <c r="U15" s="1671"/>
      <c r="V15" s="1671"/>
      <c r="W15" s="1671"/>
      <c r="X15" s="586" t="str">
        <f>IF(Q15="","","印")</f>
        <v/>
      </c>
    </row>
    <row r="16" spans="1:24" ht="15" customHeight="1">
      <c r="A16" s="582"/>
      <c r="Q16" s="1671"/>
      <c r="R16" s="1671"/>
      <c r="S16" s="1671"/>
      <c r="T16" s="1671"/>
      <c r="U16" s="1671"/>
      <c r="V16" s="1671"/>
      <c r="W16" s="1671"/>
    </row>
    <row r="17" spans="1:24" ht="15" customHeight="1">
      <c r="A17" s="582"/>
      <c r="B17" s="582" t="s">
        <v>3191</v>
      </c>
    </row>
    <row r="19" spans="1:24" ht="15" customHeight="1">
      <c r="A19" s="1674" t="s">
        <v>31</v>
      </c>
      <c r="B19" s="1674"/>
      <c r="C19" s="1674"/>
      <c r="D19" s="1674"/>
      <c r="E19" s="1674"/>
      <c r="F19" s="1674"/>
      <c r="G19" s="1674"/>
      <c r="H19" s="587"/>
      <c r="I19" s="588" t="s">
        <v>3192</v>
      </c>
      <c r="J19" s="588"/>
      <c r="K19" s="588"/>
      <c r="L19" s="588"/>
      <c r="M19" s="588"/>
      <c r="N19" s="588"/>
      <c r="O19" s="588"/>
      <c r="P19" s="588"/>
      <c r="Q19" s="588"/>
      <c r="R19" s="588"/>
      <c r="S19" s="588"/>
      <c r="T19" s="588"/>
      <c r="U19" s="588"/>
      <c r="V19" s="589"/>
      <c r="W19" s="588" t="s">
        <v>3193</v>
      </c>
      <c r="X19" s="590"/>
    </row>
    <row r="20" spans="1:24" ht="15" customHeight="1">
      <c r="A20" s="1674"/>
      <c r="B20" s="1674"/>
      <c r="C20" s="1674"/>
      <c r="D20" s="1674"/>
      <c r="E20" s="1674"/>
      <c r="F20" s="1674"/>
      <c r="G20" s="1674"/>
      <c r="H20" s="591"/>
      <c r="I20" s="1675"/>
      <c r="J20" s="1675"/>
      <c r="K20" s="1675"/>
      <c r="L20" s="1675"/>
      <c r="M20" s="1675"/>
      <c r="N20" s="592" t="s">
        <v>374</v>
      </c>
      <c r="O20" s="1676"/>
      <c r="P20" s="1676"/>
      <c r="Q20" s="1676"/>
      <c r="R20" s="1676"/>
      <c r="S20" s="1676"/>
      <c r="T20" s="1676"/>
      <c r="U20" s="592" t="s">
        <v>375</v>
      </c>
      <c r="V20" s="593"/>
      <c r="W20" s="593"/>
      <c r="X20" s="594"/>
    </row>
    <row r="21" spans="1:24" ht="15" customHeight="1">
      <c r="A21" s="1674" t="s">
        <v>3194</v>
      </c>
      <c r="B21" s="1674"/>
      <c r="C21" s="1674"/>
      <c r="D21" s="1674"/>
      <c r="E21" s="1674"/>
      <c r="F21" s="1674"/>
      <c r="G21" s="1674"/>
      <c r="H21" s="587"/>
      <c r="I21" s="588" t="s">
        <v>3192</v>
      </c>
      <c r="J21" s="588"/>
      <c r="K21" s="588"/>
      <c r="L21" s="588"/>
      <c r="M21" s="588"/>
      <c r="N21" s="588"/>
      <c r="O21" s="588"/>
      <c r="P21" s="588"/>
      <c r="Q21" s="588"/>
      <c r="R21" s="588"/>
      <c r="S21" s="588"/>
      <c r="T21" s="588"/>
      <c r="U21" s="588"/>
      <c r="V21" s="589"/>
      <c r="W21" s="588" t="s">
        <v>3193</v>
      </c>
      <c r="X21" s="590"/>
    </row>
    <row r="22" spans="1:24" ht="15" customHeight="1">
      <c r="A22" s="1674"/>
      <c r="B22" s="1674"/>
      <c r="C22" s="1674"/>
      <c r="D22" s="1674"/>
      <c r="E22" s="1674"/>
      <c r="F22" s="1674"/>
      <c r="G22" s="1674"/>
      <c r="H22" s="591"/>
      <c r="I22" s="1675"/>
      <c r="J22" s="1675"/>
      <c r="K22" s="1675"/>
      <c r="L22" s="1675"/>
      <c r="M22" s="1675"/>
      <c r="N22" s="592" t="s">
        <v>374</v>
      </c>
      <c r="O22" s="1676"/>
      <c r="P22" s="1676"/>
      <c r="Q22" s="1676"/>
      <c r="R22" s="1676"/>
      <c r="S22" s="1676"/>
      <c r="T22" s="1676"/>
      <c r="U22" s="592" t="s">
        <v>375</v>
      </c>
      <c r="V22" s="593"/>
      <c r="W22" s="593"/>
      <c r="X22" s="594"/>
    </row>
    <row r="23" spans="1:24" ht="15" customHeight="1">
      <c r="A23" s="1677" t="s">
        <v>3195</v>
      </c>
      <c r="B23" s="1677"/>
      <c r="C23" s="1677"/>
      <c r="D23" s="1677"/>
      <c r="E23" s="1677"/>
      <c r="F23" s="1677"/>
      <c r="G23" s="1677"/>
      <c r="H23" s="1678" t="str">
        <f>cst_wskakunin_BUILD__address</f>
        <v/>
      </c>
      <c r="I23" s="1679"/>
      <c r="J23" s="1679"/>
      <c r="K23" s="1679"/>
      <c r="L23" s="1679"/>
      <c r="M23" s="1679"/>
      <c r="N23" s="1679"/>
      <c r="O23" s="1679"/>
      <c r="P23" s="1679"/>
      <c r="Q23" s="1679"/>
      <c r="R23" s="1679"/>
      <c r="S23" s="1679"/>
      <c r="T23" s="1679"/>
      <c r="U23" s="1679"/>
      <c r="V23" s="1679"/>
      <c r="W23" s="1679"/>
      <c r="X23" s="1680"/>
    </row>
    <row r="24" spans="1:24" ht="15" customHeight="1">
      <c r="A24" s="1677"/>
      <c r="B24" s="1677"/>
      <c r="C24" s="1677"/>
      <c r="D24" s="1677"/>
      <c r="E24" s="1677"/>
      <c r="F24" s="1677"/>
      <c r="G24" s="1677"/>
      <c r="H24" s="1681"/>
      <c r="I24" s="1682"/>
      <c r="J24" s="1682"/>
      <c r="K24" s="1682"/>
      <c r="L24" s="1682"/>
      <c r="M24" s="1682"/>
      <c r="N24" s="1682"/>
      <c r="O24" s="1682"/>
      <c r="P24" s="1682"/>
      <c r="Q24" s="1682"/>
      <c r="R24" s="1682"/>
      <c r="S24" s="1682"/>
      <c r="T24" s="1682"/>
      <c r="U24" s="1682"/>
      <c r="V24" s="1682"/>
      <c r="W24" s="1682"/>
      <c r="X24" s="1683"/>
    </row>
    <row r="25" spans="1:24" ht="15" customHeight="1">
      <c r="A25" s="1684" t="s">
        <v>3196</v>
      </c>
      <c r="B25" s="1687" t="s">
        <v>3197</v>
      </c>
      <c r="C25" s="1690" t="s">
        <v>3198</v>
      </c>
      <c r="D25" s="1691"/>
      <c r="E25" s="1691"/>
      <c r="F25" s="1691"/>
      <c r="G25" s="1692"/>
      <c r="H25" s="1693" t="str">
        <f>cst_wskakunin_sekkei1_SIKAKU</f>
        <v/>
      </c>
      <c r="I25" s="1694"/>
      <c r="J25" s="595" t="s">
        <v>552</v>
      </c>
      <c r="K25" s="596"/>
      <c r="L25" s="1694" t="str">
        <f>cst_wskakunin_sekkei1_TOUROKU_KIKAN</f>
        <v/>
      </c>
      <c r="M25" s="1694"/>
      <c r="N25" s="1694"/>
      <c r="O25" s="1694"/>
      <c r="P25" s="595" t="s">
        <v>558</v>
      </c>
      <c r="Q25" s="596"/>
      <c r="R25" s="1695" t="str">
        <f>cst_wskakunin_sekkei1_KENTIKUSI_NO</f>
        <v/>
      </c>
      <c r="S25" s="1695"/>
      <c r="T25" s="1695"/>
      <c r="U25" s="1695"/>
      <c r="V25" s="1695"/>
      <c r="W25" s="1695"/>
      <c r="X25" s="597" t="s">
        <v>375</v>
      </c>
    </row>
    <row r="26" spans="1:24" ht="15" customHeight="1">
      <c r="A26" s="1685"/>
      <c r="B26" s="1688"/>
      <c r="C26" s="1696" t="s">
        <v>3199</v>
      </c>
      <c r="D26" s="1697"/>
      <c r="E26" s="1697"/>
      <c r="F26" s="1697"/>
      <c r="G26" s="1698"/>
      <c r="H26" s="1699" t="str">
        <f>cst_wskakunin_sekkei1_NAME</f>
        <v/>
      </c>
      <c r="I26" s="1700"/>
      <c r="J26" s="1700"/>
      <c r="K26" s="1700"/>
      <c r="L26" s="1700"/>
      <c r="M26" s="1700"/>
      <c r="N26" s="1700"/>
      <c r="O26" s="1700"/>
      <c r="P26" s="1700"/>
      <c r="Q26" s="598" t="s">
        <v>372</v>
      </c>
      <c r="R26" s="598"/>
      <c r="S26" s="598"/>
      <c r="T26" s="598"/>
      <c r="U26" s="598"/>
      <c r="V26" s="598"/>
      <c r="W26" s="598"/>
      <c r="X26" s="599"/>
    </row>
    <row r="27" spans="1:24" ht="15" customHeight="1">
      <c r="A27" s="1685"/>
      <c r="B27" s="1688"/>
      <c r="C27" s="1701" t="s">
        <v>3200</v>
      </c>
      <c r="D27" s="1702"/>
      <c r="E27" s="1702"/>
      <c r="F27" s="1702"/>
      <c r="G27" s="1703"/>
      <c r="H27" s="1707" t="str">
        <f>cst_wskakunin_sekkei1_JIMU_SIKAKU</f>
        <v/>
      </c>
      <c r="I27" s="1708"/>
      <c r="J27" s="1709" t="s">
        <v>553</v>
      </c>
      <c r="K27" s="1709"/>
      <c r="L27" s="1709"/>
      <c r="M27" s="1708" t="str">
        <f>cst_wskakunin_sekkei1_JIMU_TOUROKU_KIKAN</f>
        <v/>
      </c>
      <c r="N27" s="1708"/>
      <c r="O27" s="1708"/>
      <c r="P27" s="600" t="s">
        <v>559</v>
      </c>
      <c r="Q27" s="601"/>
      <c r="R27" s="600"/>
      <c r="S27" s="1710" t="str">
        <f>cst_wskakunin_sekkei1_JIMU_NO</f>
        <v/>
      </c>
      <c r="T27" s="1710"/>
      <c r="U27" s="1710"/>
      <c r="V27" s="1710"/>
      <c r="W27" s="1710"/>
      <c r="X27" s="602" t="s">
        <v>375</v>
      </c>
    </row>
    <row r="28" spans="1:24" ht="15" customHeight="1">
      <c r="A28" s="1685"/>
      <c r="B28" s="1688"/>
      <c r="C28" s="1704"/>
      <c r="D28" s="1705"/>
      <c r="E28" s="1705"/>
      <c r="F28" s="1705"/>
      <c r="G28" s="1706"/>
      <c r="H28" s="1699" t="str">
        <f>cst_wskakunin_sekkei1_JIMU_NAME</f>
        <v/>
      </c>
      <c r="I28" s="1700"/>
      <c r="J28" s="1700"/>
      <c r="K28" s="1700"/>
      <c r="L28" s="1700"/>
      <c r="M28" s="1700"/>
      <c r="N28" s="1700"/>
      <c r="O28" s="1700"/>
      <c r="P28" s="1700"/>
      <c r="Q28" s="1700"/>
      <c r="R28" s="1700"/>
      <c r="S28" s="1700"/>
      <c r="T28" s="1700"/>
      <c r="U28" s="1700"/>
      <c r="V28" s="1700"/>
      <c r="W28" s="1700"/>
      <c r="X28" s="1711"/>
    </row>
    <row r="29" spans="1:24" ht="15" customHeight="1">
      <c r="A29" s="1686"/>
      <c r="B29" s="1689"/>
      <c r="C29" s="1712" t="s">
        <v>3201</v>
      </c>
      <c r="D29" s="1713"/>
      <c r="E29" s="1713"/>
      <c r="F29" s="1713"/>
      <c r="G29" s="1714"/>
      <c r="H29" s="1715" t="str">
        <f>cst_wskakunin_sekkei1_TEL</f>
        <v/>
      </c>
      <c r="I29" s="1716"/>
      <c r="J29" s="1716"/>
      <c r="K29" s="1716"/>
      <c r="L29" s="1716"/>
      <c r="M29" s="1716"/>
      <c r="N29" s="1716"/>
      <c r="O29" s="1716"/>
      <c r="P29" s="1716"/>
      <c r="Q29" s="1716"/>
      <c r="R29" s="1716"/>
      <c r="S29" s="1716"/>
      <c r="T29" s="1716"/>
      <c r="U29" s="1716"/>
      <c r="V29" s="1716"/>
      <c r="W29" s="1716"/>
      <c r="X29" s="1717"/>
    </row>
    <row r="31" spans="1:24" ht="15" customHeight="1">
      <c r="A31" s="1718" t="s">
        <v>3202</v>
      </c>
      <c r="B31" s="1719"/>
      <c r="C31" s="1719"/>
      <c r="D31" s="1719"/>
      <c r="E31" s="1719"/>
      <c r="F31" s="1719"/>
      <c r="G31" s="1719"/>
      <c r="H31" s="1719"/>
      <c r="I31" s="1719"/>
      <c r="J31" s="1719"/>
      <c r="K31" s="1719"/>
      <c r="L31" s="1719"/>
      <c r="M31" s="1719"/>
      <c r="N31" s="1719"/>
      <c r="O31" s="1719"/>
      <c r="P31" s="1719"/>
      <c r="Q31" s="1719"/>
      <c r="R31" s="1719"/>
      <c r="S31" s="1719"/>
      <c r="T31" s="1719"/>
      <c r="U31" s="1719"/>
      <c r="V31" s="1719"/>
      <c r="W31" s="1719"/>
      <c r="X31" s="1720"/>
    </row>
    <row r="32" spans="1:24" ht="15" customHeight="1">
      <c r="A32" s="1721"/>
      <c r="B32" s="1722"/>
      <c r="C32" s="1722"/>
      <c r="D32" s="1722"/>
      <c r="E32" s="1722"/>
      <c r="F32" s="1722"/>
      <c r="G32" s="1722"/>
      <c r="H32" s="1722"/>
      <c r="I32" s="1722"/>
      <c r="J32" s="1722"/>
      <c r="K32" s="1722"/>
      <c r="L32" s="1722"/>
      <c r="M32" s="1722"/>
      <c r="N32" s="1722"/>
      <c r="O32" s="1722"/>
      <c r="P32" s="1722"/>
      <c r="Q32" s="1722"/>
      <c r="R32" s="1722"/>
      <c r="S32" s="1722"/>
      <c r="T32" s="1722"/>
      <c r="U32" s="1722"/>
      <c r="V32" s="1722"/>
      <c r="W32" s="1722"/>
      <c r="X32" s="1723"/>
    </row>
    <row r="33" spans="1:24" ht="15" customHeight="1">
      <c r="A33" s="1721"/>
      <c r="B33" s="1722"/>
      <c r="C33" s="1722"/>
      <c r="D33" s="1722"/>
      <c r="E33" s="1722"/>
      <c r="F33" s="1722"/>
      <c r="G33" s="1722"/>
      <c r="H33" s="1722"/>
      <c r="I33" s="1722"/>
      <c r="J33" s="1722"/>
      <c r="K33" s="1722"/>
      <c r="L33" s="1722"/>
      <c r="M33" s="1722"/>
      <c r="N33" s="1722"/>
      <c r="O33" s="1722"/>
      <c r="P33" s="1722"/>
      <c r="Q33" s="1722"/>
      <c r="R33" s="1722"/>
      <c r="S33" s="1722"/>
      <c r="T33" s="1722"/>
      <c r="U33" s="1722"/>
      <c r="V33" s="1722"/>
      <c r="W33" s="1722"/>
      <c r="X33" s="1723"/>
    </row>
    <row r="34" spans="1:24" ht="15" customHeight="1">
      <c r="A34" s="1721"/>
      <c r="B34" s="1722"/>
      <c r="C34" s="1722"/>
      <c r="D34" s="1722"/>
      <c r="E34" s="1722"/>
      <c r="F34" s="1722"/>
      <c r="G34" s="1722"/>
      <c r="H34" s="1722"/>
      <c r="I34" s="1722"/>
      <c r="J34" s="1722"/>
      <c r="K34" s="1722"/>
      <c r="L34" s="1722"/>
      <c r="M34" s="1722"/>
      <c r="N34" s="1722"/>
      <c r="O34" s="1722"/>
      <c r="P34" s="1722"/>
      <c r="Q34" s="1722"/>
      <c r="R34" s="1722"/>
      <c r="S34" s="1722"/>
      <c r="T34" s="1722"/>
      <c r="U34" s="1722"/>
      <c r="V34" s="1722"/>
      <c r="W34" s="1722"/>
      <c r="X34" s="1723"/>
    </row>
    <row r="35" spans="1:24" ht="15" customHeight="1">
      <c r="A35" s="1721"/>
      <c r="B35" s="1722"/>
      <c r="C35" s="1722"/>
      <c r="D35" s="1722"/>
      <c r="E35" s="1722"/>
      <c r="F35" s="1722"/>
      <c r="G35" s="1722"/>
      <c r="H35" s="1722"/>
      <c r="I35" s="1722"/>
      <c r="J35" s="1722"/>
      <c r="K35" s="1722"/>
      <c r="L35" s="1722"/>
      <c r="M35" s="1722"/>
      <c r="N35" s="1722"/>
      <c r="O35" s="1722"/>
      <c r="P35" s="1722"/>
      <c r="Q35" s="1722"/>
      <c r="R35" s="1722"/>
      <c r="S35" s="1722"/>
      <c r="T35" s="1722"/>
      <c r="U35" s="1722"/>
      <c r="V35" s="1722"/>
      <c r="W35" s="1722"/>
      <c r="X35" s="1723"/>
    </row>
    <row r="36" spans="1:24" ht="15" customHeight="1">
      <c r="A36" s="1721"/>
      <c r="B36" s="1722"/>
      <c r="C36" s="1722"/>
      <c r="D36" s="1722"/>
      <c r="E36" s="1722"/>
      <c r="F36" s="1722"/>
      <c r="G36" s="1722"/>
      <c r="H36" s="1722"/>
      <c r="I36" s="1722"/>
      <c r="J36" s="1722"/>
      <c r="K36" s="1722"/>
      <c r="L36" s="1722"/>
      <c r="M36" s="1722"/>
      <c r="N36" s="1722"/>
      <c r="O36" s="1722"/>
      <c r="P36" s="1722"/>
      <c r="Q36" s="1722"/>
      <c r="R36" s="1722"/>
      <c r="S36" s="1722"/>
      <c r="T36" s="1722"/>
      <c r="U36" s="1722"/>
      <c r="V36" s="1722"/>
      <c r="W36" s="1722"/>
      <c r="X36" s="1723"/>
    </row>
    <row r="37" spans="1:24" ht="15" customHeight="1">
      <c r="A37" s="1721"/>
      <c r="B37" s="1722"/>
      <c r="C37" s="1722"/>
      <c r="D37" s="1722"/>
      <c r="E37" s="1722"/>
      <c r="F37" s="1722"/>
      <c r="G37" s="1722"/>
      <c r="H37" s="1722"/>
      <c r="I37" s="1722"/>
      <c r="J37" s="1722"/>
      <c r="K37" s="1722"/>
      <c r="L37" s="1722"/>
      <c r="M37" s="1722"/>
      <c r="N37" s="1722"/>
      <c r="O37" s="1722"/>
      <c r="P37" s="1722"/>
      <c r="Q37" s="1722"/>
      <c r="R37" s="1722"/>
      <c r="S37" s="1722"/>
      <c r="T37" s="1722"/>
      <c r="U37" s="1722"/>
      <c r="V37" s="1722"/>
      <c r="W37" s="1722"/>
      <c r="X37" s="1723"/>
    </row>
    <row r="38" spans="1:24" ht="15" customHeight="1">
      <c r="A38" s="1721"/>
      <c r="B38" s="1722"/>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3"/>
    </row>
    <row r="39" spans="1:24" ht="15" customHeight="1">
      <c r="A39" s="1724"/>
      <c r="B39" s="1725"/>
      <c r="C39" s="1725"/>
      <c r="D39" s="1725"/>
      <c r="E39" s="1725"/>
      <c r="F39" s="1725"/>
      <c r="G39" s="1725"/>
      <c r="H39" s="1725"/>
      <c r="I39" s="1725"/>
      <c r="J39" s="1725"/>
      <c r="K39" s="1725"/>
      <c r="L39" s="1725"/>
      <c r="M39" s="1725"/>
      <c r="N39" s="1725"/>
      <c r="O39" s="1725"/>
      <c r="P39" s="1725"/>
      <c r="Q39" s="1725"/>
      <c r="R39" s="1725"/>
      <c r="S39" s="1725"/>
      <c r="T39" s="1725"/>
      <c r="U39" s="1725"/>
      <c r="V39" s="1725"/>
      <c r="W39" s="1725"/>
      <c r="X39" s="1726"/>
    </row>
    <row r="40" spans="1:24" ht="15" customHeight="1">
      <c r="A40" s="603" t="s">
        <v>3203</v>
      </c>
      <c r="B40" s="588"/>
      <c r="C40" s="588"/>
      <c r="D40" s="588"/>
      <c r="E40" s="588"/>
      <c r="F40" s="588"/>
      <c r="G40" s="588"/>
      <c r="H40" s="588"/>
      <c r="I40" s="588"/>
      <c r="J40" s="588"/>
      <c r="K40" s="588"/>
      <c r="L40" s="590"/>
      <c r="M40" s="604" t="s">
        <v>3204</v>
      </c>
      <c r="N40" s="588"/>
      <c r="O40" s="588"/>
      <c r="P40" s="588"/>
      <c r="Q40" s="588"/>
      <c r="R40" s="588"/>
      <c r="S40" s="588"/>
      <c r="T40" s="588"/>
      <c r="U40" s="588"/>
      <c r="V40" s="588"/>
      <c r="W40" s="588"/>
      <c r="X40" s="590"/>
    </row>
    <row r="41" spans="1:24" ht="15" customHeight="1">
      <c r="A41" s="605"/>
      <c r="L41" s="606"/>
      <c r="M41" s="607"/>
      <c r="X41" s="606"/>
    </row>
    <row r="42" spans="1:24" ht="15" customHeight="1">
      <c r="A42" s="605"/>
      <c r="L42" s="606"/>
      <c r="M42" s="607"/>
      <c r="X42" s="606"/>
    </row>
    <row r="43" spans="1:24" ht="15" customHeight="1">
      <c r="A43" s="608"/>
      <c r="B43" s="593"/>
      <c r="C43" s="593"/>
      <c r="D43" s="593"/>
      <c r="E43" s="593"/>
      <c r="F43" s="593"/>
      <c r="G43" s="593"/>
      <c r="H43" s="593"/>
      <c r="I43" s="593"/>
      <c r="J43" s="593"/>
      <c r="K43" s="593"/>
      <c r="L43" s="594"/>
      <c r="M43" s="591"/>
      <c r="N43" s="593"/>
      <c r="O43" s="593"/>
      <c r="P43" s="593"/>
      <c r="Q43" s="593"/>
      <c r="R43" s="593"/>
      <c r="S43" s="593"/>
      <c r="T43" s="593"/>
      <c r="U43" s="593"/>
      <c r="V43" s="593"/>
      <c r="W43" s="593"/>
      <c r="X43" s="594"/>
    </row>
    <row r="44" spans="1:24" ht="15" customHeight="1">
      <c r="A44" s="1727" t="s">
        <v>3205</v>
      </c>
      <c r="B44" s="1727"/>
      <c r="C44" s="1727"/>
      <c r="D44" s="1727"/>
      <c r="E44" s="1727"/>
      <c r="F44" s="1727"/>
      <c r="G44" s="1727"/>
      <c r="H44" s="1727"/>
      <c r="I44" s="1727"/>
      <c r="J44" s="1727"/>
      <c r="K44" s="1727"/>
      <c r="L44" s="1727"/>
      <c r="M44" s="1727"/>
      <c r="N44" s="1727"/>
      <c r="O44" s="1727"/>
      <c r="P44" s="1727"/>
      <c r="Q44" s="1727"/>
      <c r="R44" s="1727"/>
      <c r="S44" s="1727"/>
      <c r="T44" s="1727"/>
      <c r="U44" s="1727"/>
      <c r="V44" s="1727"/>
      <c r="W44" s="1727"/>
      <c r="X44" s="1727"/>
    </row>
    <row r="45" spans="1:24" ht="15" customHeight="1">
      <c r="A45" s="1727"/>
      <c r="B45" s="1727"/>
      <c r="C45" s="1727"/>
      <c r="D45" s="1727"/>
      <c r="E45" s="1727"/>
      <c r="F45" s="1727"/>
      <c r="G45" s="1727"/>
      <c r="H45" s="1727"/>
      <c r="I45" s="1727"/>
      <c r="J45" s="1727"/>
      <c r="K45" s="1727"/>
      <c r="L45" s="1727"/>
      <c r="M45" s="1727"/>
      <c r="N45" s="1727"/>
      <c r="O45" s="1727"/>
      <c r="P45" s="1727"/>
      <c r="Q45" s="1727"/>
      <c r="R45" s="1727"/>
      <c r="S45" s="1727"/>
      <c r="T45" s="1727"/>
      <c r="U45" s="1727"/>
      <c r="V45" s="1727"/>
      <c r="W45" s="1727"/>
      <c r="X45" s="1727"/>
    </row>
    <row r="46" spans="1:24" ht="15" customHeight="1">
      <c r="A46" s="1727"/>
      <c r="B46" s="1727"/>
      <c r="C46" s="1727"/>
      <c r="D46" s="1727"/>
      <c r="E46" s="1727"/>
      <c r="F46" s="1727"/>
      <c r="G46" s="1727"/>
      <c r="H46" s="1727"/>
      <c r="I46" s="1727"/>
      <c r="J46" s="1727"/>
      <c r="K46" s="1727"/>
      <c r="L46" s="1727"/>
      <c r="M46" s="1727"/>
      <c r="N46" s="1727"/>
      <c r="O46" s="1727"/>
      <c r="P46" s="1727"/>
      <c r="Q46" s="1727"/>
      <c r="R46" s="1727"/>
      <c r="S46" s="1727"/>
      <c r="T46" s="1727"/>
      <c r="U46" s="1727"/>
      <c r="V46" s="1727"/>
      <c r="W46" s="1727"/>
      <c r="X46" s="1727"/>
    </row>
    <row r="47" spans="1:24" ht="15" customHeight="1">
      <c r="A47" s="1727"/>
      <c r="B47" s="1727"/>
      <c r="C47" s="1727"/>
      <c r="D47" s="1727"/>
      <c r="E47" s="1727"/>
      <c r="F47" s="1727"/>
      <c r="G47" s="1727"/>
      <c r="H47" s="1727"/>
      <c r="I47" s="1727"/>
      <c r="J47" s="1727"/>
      <c r="K47" s="1727"/>
      <c r="L47" s="1727"/>
      <c r="M47" s="1727"/>
      <c r="N47" s="1727"/>
      <c r="O47" s="1727"/>
      <c r="P47" s="1727"/>
      <c r="Q47" s="1727"/>
      <c r="R47" s="1727"/>
      <c r="S47" s="1727"/>
      <c r="T47" s="1727"/>
      <c r="U47" s="1727"/>
      <c r="V47" s="1727"/>
      <c r="W47" s="1727"/>
      <c r="X47" s="1727"/>
    </row>
    <row r="48" spans="1:24" ht="15" customHeight="1">
      <c r="A48" s="1727"/>
      <c r="B48" s="1727"/>
      <c r="C48" s="1727"/>
      <c r="D48" s="1727"/>
      <c r="E48" s="1727"/>
      <c r="F48" s="1727"/>
      <c r="G48" s="1727"/>
      <c r="H48" s="1727"/>
      <c r="I48" s="1727"/>
      <c r="J48" s="1727"/>
      <c r="K48" s="1727"/>
      <c r="L48" s="1727"/>
      <c r="M48" s="1727"/>
      <c r="N48" s="1727"/>
      <c r="O48" s="1727"/>
      <c r="P48" s="1727"/>
      <c r="Q48" s="1727"/>
      <c r="R48" s="1727"/>
      <c r="S48" s="1727"/>
      <c r="T48" s="1727"/>
      <c r="U48" s="1727"/>
      <c r="V48" s="1727"/>
      <c r="W48" s="1727"/>
      <c r="X48" s="1727"/>
    </row>
    <row r="49" spans="1:24" ht="15" customHeight="1">
      <c r="A49" s="1727"/>
      <c r="B49" s="1727"/>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row>
    <row r="50" spans="1:24" ht="15" customHeight="1">
      <c r="A50" s="1727"/>
      <c r="B50" s="1727"/>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row>
    <row r="51" spans="1:24" ht="15" customHeight="1">
      <c r="A51" s="1727"/>
      <c r="B51" s="1727"/>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row>
    <row r="52" spans="1:24" ht="15" customHeight="1">
      <c r="A52" s="1727"/>
      <c r="B52" s="1727"/>
      <c r="C52" s="1727"/>
      <c r="D52" s="1727"/>
      <c r="E52" s="1727"/>
      <c r="F52" s="1727"/>
      <c r="G52" s="1727"/>
      <c r="H52" s="1727"/>
      <c r="I52" s="1727"/>
      <c r="J52" s="1727"/>
      <c r="K52" s="1727"/>
      <c r="L52" s="1727"/>
      <c r="M52" s="1727"/>
      <c r="N52" s="1727"/>
      <c r="O52" s="1727"/>
      <c r="P52" s="1727"/>
      <c r="Q52" s="1727"/>
      <c r="R52" s="1727"/>
      <c r="S52" s="1727"/>
      <c r="T52" s="1727"/>
      <c r="U52" s="1727"/>
      <c r="V52" s="1727"/>
      <c r="W52" s="1727"/>
      <c r="X52" s="1727"/>
    </row>
    <row r="53" spans="1:24" ht="15" customHeight="1">
      <c r="A53" s="1727"/>
      <c r="B53" s="1727"/>
      <c r="C53" s="1727"/>
      <c r="D53" s="1727"/>
      <c r="E53" s="1727"/>
      <c r="F53" s="1727"/>
      <c r="G53" s="1727"/>
      <c r="H53" s="1727"/>
      <c r="I53" s="1727"/>
      <c r="J53" s="1727"/>
      <c r="K53" s="1727"/>
      <c r="L53" s="1727"/>
      <c r="M53" s="1727"/>
      <c r="N53" s="1727"/>
      <c r="O53" s="1727"/>
      <c r="P53" s="1727"/>
      <c r="Q53" s="1727"/>
      <c r="R53" s="1727"/>
      <c r="S53" s="1727"/>
      <c r="T53" s="1727"/>
      <c r="U53" s="1727"/>
      <c r="V53" s="1727"/>
      <c r="W53" s="1727"/>
      <c r="X53" s="1727"/>
    </row>
    <row r="54" spans="1:24" ht="15" customHeight="1">
      <c r="A54" s="1727"/>
      <c r="B54" s="1727"/>
      <c r="C54" s="1727"/>
      <c r="D54" s="1727"/>
      <c r="E54" s="1727"/>
      <c r="F54" s="1727"/>
      <c r="G54" s="1727"/>
      <c r="H54" s="1727"/>
      <c r="I54" s="1727"/>
      <c r="J54" s="1727"/>
      <c r="K54" s="1727"/>
      <c r="L54" s="1727"/>
      <c r="M54" s="1727"/>
      <c r="N54" s="1727"/>
      <c r="O54" s="1727"/>
      <c r="P54" s="1727"/>
      <c r="Q54" s="1727"/>
      <c r="R54" s="1727"/>
      <c r="S54" s="1727"/>
      <c r="T54" s="1727"/>
      <c r="U54" s="1727"/>
      <c r="V54" s="1727"/>
      <c r="W54" s="1727"/>
      <c r="X54" s="1727"/>
    </row>
  </sheetData>
  <mergeCells count="33">
    <mergeCell ref="C29:G29"/>
    <mergeCell ref="H29:X29"/>
    <mergeCell ref="A31:X31"/>
    <mergeCell ref="A32:X39"/>
    <mergeCell ref="A44:X54"/>
    <mergeCell ref="A23:G24"/>
    <mergeCell ref="H23:X24"/>
    <mergeCell ref="A25:A29"/>
    <mergeCell ref="B25:B29"/>
    <mergeCell ref="C25:G25"/>
    <mergeCell ref="H25:I25"/>
    <mergeCell ref="L25:O25"/>
    <mergeCell ref="R25:W25"/>
    <mergeCell ref="C26:G26"/>
    <mergeCell ref="H26:P26"/>
    <mergeCell ref="C27:G28"/>
    <mergeCell ref="H27:I27"/>
    <mergeCell ref="J27:L27"/>
    <mergeCell ref="M27:O27"/>
    <mergeCell ref="S27:W27"/>
    <mergeCell ref="H28:X28"/>
    <mergeCell ref="A19:G20"/>
    <mergeCell ref="I20:M20"/>
    <mergeCell ref="O20:T20"/>
    <mergeCell ref="A21:G22"/>
    <mergeCell ref="I22:M22"/>
    <mergeCell ref="O22:T22"/>
    <mergeCell ref="Q15:W16"/>
    <mergeCell ref="A1:X2"/>
    <mergeCell ref="Q4:R4"/>
    <mergeCell ref="Q9:W10"/>
    <mergeCell ref="Q11:W12"/>
    <mergeCell ref="Q13:W14"/>
  </mergeCells>
  <phoneticPr fontId="139"/>
  <dataValidations count="1">
    <dataValidation allowBlank="1" showInputMessage="1" showErrorMessage="1" sqref="H29:X29 R25:W25 S4 S27:W27 U4 W4" xr:uid="{00000000-0002-0000-17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ltText="">
                <anchor moveWithCells="1">
                  <from>
                    <xdr:col>7</xdr:col>
                    <xdr:colOff>38100</xdr:colOff>
                    <xdr:row>18</xdr:row>
                    <xdr:rowOff>0</xdr:rowOff>
                  </from>
                  <to>
                    <xdr:col>8</xdr:col>
                    <xdr:colOff>66675</xdr:colOff>
                    <xdr:row>19</xdr:row>
                    <xdr:rowOff>19050</xdr:rowOff>
                  </to>
                </anchor>
              </controlPr>
            </control>
          </mc:Choice>
        </mc:AlternateContent>
        <mc:AlternateContent xmlns:mc="http://schemas.openxmlformats.org/markup-compatibility/2006">
          <mc:Choice Requires="x14">
            <control shapeId="44034" r:id="rId5" name="Check Box 2">
              <controlPr defaultSize="0" autoFill="0" autoLine="0" autoPict="0" altText="">
                <anchor moveWithCells="1">
                  <from>
                    <xdr:col>21</xdr:col>
                    <xdr:colOff>38100</xdr:colOff>
                    <xdr:row>18</xdr:row>
                    <xdr:rowOff>0</xdr:rowOff>
                  </from>
                  <to>
                    <xdr:col>22</xdr:col>
                    <xdr:colOff>66675</xdr:colOff>
                    <xdr:row>19</xdr:row>
                    <xdr:rowOff>19050</xdr:rowOff>
                  </to>
                </anchor>
              </controlPr>
            </control>
          </mc:Choice>
        </mc:AlternateContent>
        <mc:AlternateContent xmlns:mc="http://schemas.openxmlformats.org/markup-compatibility/2006">
          <mc:Choice Requires="x14">
            <control shapeId="44035" r:id="rId6" name="Check Box 3">
              <controlPr defaultSize="0" autoFill="0" autoLine="0" autoPict="0" altText="">
                <anchor moveWithCells="1">
                  <from>
                    <xdr:col>7</xdr:col>
                    <xdr:colOff>38100</xdr:colOff>
                    <xdr:row>20</xdr:row>
                    <xdr:rowOff>0</xdr:rowOff>
                  </from>
                  <to>
                    <xdr:col>8</xdr:col>
                    <xdr:colOff>66675</xdr:colOff>
                    <xdr:row>21</xdr:row>
                    <xdr:rowOff>19050</xdr:rowOff>
                  </to>
                </anchor>
              </controlPr>
            </control>
          </mc:Choice>
        </mc:AlternateContent>
        <mc:AlternateContent xmlns:mc="http://schemas.openxmlformats.org/markup-compatibility/2006">
          <mc:Choice Requires="x14">
            <control shapeId="44036" r:id="rId7" name="Check Box 4">
              <controlPr defaultSize="0" autoFill="0" autoLine="0" autoPict="0" altText="">
                <anchor moveWithCells="1">
                  <from>
                    <xdr:col>21</xdr:col>
                    <xdr:colOff>38100</xdr:colOff>
                    <xdr:row>20</xdr:row>
                    <xdr:rowOff>0</xdr:rowOff>
                  </from>
                  <to>
                    <xdr:col>22</xdr:col>
                    <xdr:colOff>66675</xdr:colOff>
                    <xdr:row>21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1672" t="s">
        <v>2790</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row>
    <row r="2" spans="1:24" ht="15" customHeigh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row>
    <row r="4" spans="1:24" ht="15" customHeight="1">
      <c r="B4" s="309" t="s">
        <v>3206</v>
      </c>
      <c r="C4" s="1728" t="str">
        <f>cst_wskakunin_sekkei1_NAME</f>
        <v/>
      </c>
      <c r="D4" s="1728"/>
      <c r="E4" s="1728"/>
      <c r="F4" s="1728"/>
      <c r="G4" s="1728"/>
      <c r="H4" s="1728"/>
      <c r="I4" s="1728"/>
      <c r="J4" s="1728"/>
      <c r="K4" s="1728"/>
      <c r="L4" s="1728"/>
      <c r="M4" s="1728"/>
      <c r="N4" s="1728"/>
      <c r="O4" s="1728"/>
      <c r="P4" s="1728"/>
      <c r="Q4" s="1728"/>
      <c r="R4" s="1728"/>
      <c r="S4" s="1728"/>
      <c r="T4" s="582" t="s">
        <v>3207</v>
      </c>
    </row>
    <row r="5" spans="1:24" ht="15" customHeight="1">
      <c r="A5" s="309" t="s">
        <v>3208</v>
      </c>
    </row>
    <row r="6" spans="1:24" ht="15" customHeight="1">
      <c r="B6" s="309" t="s">
        <v>3209</v>
      </c>
    </row>
    <row r="8" spans="1:24" ht="15" customHeight="1">
      <c r="A8" s="582"/>
      <c r="Q8" s="1673" t="s">
        <v>3089</v>
      </c>
      <c r="R8" s="1673"/>
      <c r="S8" s="583"/>
      <c r="T8" s="584" t="s">
        <v>371</v>
      </c>
      <c r="U8" s="583"/>
      <c r="V8" s="584" t="s">
        <v>4</v>
      </c>
      <c r="W8" s="583"/>
      <c r="X8" s="584" t="s">
        <v>373</v>
      </c>
    </row>
    <row r="9" spans="1:24" ht="15" customHeight="1">
      <c r="A9" s="582"/>
      <c r="R9" s="585"/>
      <c r="S9" s="310"/>
      <c r="T9" s="310"/>
      <c r="U9" s="310"/>
      <c r="V9" s="310"/>
      <c r="W9" s="310"/>
      <c r="X9" s="310"/>
    </row>
    <row r="10" spans="1:24" ht="15" customHeight="1">
      <c r="A10" s="582" t="str">
        <f ca="1">cst_Pre_Corp__SHINSEI</f>
        <v>一般財団法人　岩手県建築住宅センター</v>
      </c>
    </row>
    <row r="11" spans="1:24" ht="15" customHeight="1">
      <c r="A11" s="582" t="str">
        <f ca="1">"　　"&amp;cst_Pre_Daihyou__SHINSEI&amp;"　様"</f>
        <v>　　理事長　　渡 邊 健 治　様</v>
      </c>
    </row>
    <row r="12" spans="1:24" ht="15" customHeight="1">
      <c r="A12" s="582"/>
    </row>
    <row r="13" spans="1:24" ht="15" customHeight="1">
      <c r="A13" s="582"/>
      <c r="O13" s="585" t="s">
        <v>3190</v>
      </c>
      <c r="Q13" s="1671" t="str">
        <f>cst_wskakunin_owner1__address</f>
        <v/>
      </c>
      <c r="R13" s="1671"/>
      <c r="S13" s="1671"/>
      <c r="T13" s="1671"/>
      <c r="U13" s="1671"/>
      <c r="V13" s="1671"/>
      <c r="W13" s="1671"/>
      <c r="X13" s="310"/>
    </row>
    <row r="14" spans="1:24" ht="15" customHeight="1">
      <c r="A14" s="582"/>
      <c r="Q14" s="1671"/>
      <c r="R14" s="1671"/>
      <c r="S14" s="1671"/>
      <c r="T14" s="1671"/>
      <c r="U14" s="1671"/>
      <c r="V14" s="1671"/>
      <c r="W14" s="1671"/>
      <c r="X14" s="310"/>
    </row>
    <row r="15" spans="1:24" ht="15" customHeight="1">
      <c r="A15" s="582"/>
      <c r="O15" s="585" t="s">
        <v>19</v>
      </c>
      <c r="Q15" s="1671" t="str">
        <f>cst_wskakunin_owner1__space</f>
        <v/>
      </c>
      <c r="R15" s="1671"/>
      <c r="S15" s="1671"/>
      <c r="T15" s="1671"/>
      <c r="U15" s="1671"/>
      <c r="V15" s="1671"/>
      <c r="W15" s="1671"/>
      <c r="X15" s="310" t="s">
        <v>372</v>
      </c>
    </row>
    <row r="16" spans="1:24" ht="15" customHeight="1">
      <c r="A16" s="582"/>
      <c r="Q16" s="1671"/>
      <c r="R16" s="1671"/>
      <c r="S16" s="1671"/>
      <c r="T16" s="1671"/>
      <c r="U16" s="1671"/>
      <c r="V16" s="1671"/>
      <c r="W16" s="1671"/>
      <c r="X16" s="310"/>
    </row>
    <row r="17" spans="1:24" ht="15" customHeight="1">
      <c r="A17" s="582"/>
      <c r="Q17" s="1671" t="str">
        <f>cst_wskakunin_owner2__space</f>
        <v/>
      </c>
      <c r="R17" s="1671"/>
      <c r="S17" s="1671"/>
      <c r="T17" s="1671"/>
      <c r="U17" s="1671"/>
      <c r="V17" s="1671"/>
      <c r="W17" s="1671"/>
      <c r="X17" s="586" t="str">
        <f>IF(Q17="","","印")</f>
        <v/>
      </c>
    </row>
    <row r="18" spans="1:24" ht="15" customHeight="1">
      <c r="A18" s="582"/>
      <c r="Q18" s="1671"/>
      <c r="R18" s="1671"/>
      <c r="S18" s="1671"/>
      <c r="T18" s="1671"/>
      <c r="U18" s="1671"/>
      <c r="V18" s="1671"/>
      <c r="W18" s="1671"/>
    </row>
    <row r="19" spans="1:24" ht="15" customHeight="1">
      <c r="A19" s="582"/>
      <c r="Q19" s="1671" t="str">
        <f>cst_wskakunin_owner3__space</f>
        <v/>
      </c>
      <c r="R19" s="1671"/>
      <c r="S19" s="1671"/>
      <c r="T19" s="1671"/>
      <c r="U19" s="1671"/>
      <c r="V19" s="1671"/>
      <c r="W19" s="1671"/>
      <c r="X19" s="586" t="str">
        <f>IF(Q19="","","印")</f>
        <v/>
      </c>
    </row>
    <row r="20" spans="1:24" ht="15" customHeight="1">
      <c r="A20" s="582"/>
      <c r="Q20" s="1671"/>
      <c r="R20" s="1671"/>
      <c r="S20" s="1671"/>
      <c r="T20" s="1671"/>
      <c r="U20" s="1671"/>
      <c r="V20" s="1671"/>
      <c r="W20" s="1671"/>
    </row>
    <row r="21" spans="1:24" ht="15" customHeight="1">
      <c r="O21" s="585" t="s">
        <v>22</v>
      </c>
      <c r="Q21" s="1728" t="str">
        <f>cst_wskakunin_owner1_TEL</f>
        <v/>
      </c>
      <c r="R21" s="1728"/>
      <c r="S21" s="1728"/>
      <c r="T21" s="1728"/>
      <c r="U21" s="1728"/>
      <c r="V21" s="1728"/>
      <c r="W21" s="1728"/>
    </row>
    <row r="23" spans="1:24" ht="15" customHeight="1">
      <c r="A23" s="1732" t="s">
        <v>33</v>
      </c>
      <c r="B23" s="1733"/>
      <c r="C23" s="1690" t="s">
        <v>3210</v>
      </c>
      <c r="D23" s="1691"/>
      <c r="E23" s="1691"/>
      <c r="F23" s="1691"/>
      <c r="G23" s="1692"/>
      <c r="H23" s="1738" t="str">
        <f>cst_wskakunin_dairi1_NAME</f>
        <v/>
      </c>
      <c r="I23" s="1739"/>
      <c r="J23" s="1739"/>
      <c r="K23" s="1739"/>
      <c r="L23" s="1739"/>
      <c r="M23" s="1739"/>
      <c r="N23" s="1739"/>
      <c r="O23" s="1739"/>
      <c r="P23" s="1739"/>
      <c r="Q23" s="609" t="s">
        <v>372</v>
      </c>
      <c r="R23" s="609"/>
      <c r="S23" s="609"/>
      <c r="T23" s="609"/>
      <c r="U23" s="609"/>
      <c r="V23" s="609"/>
      <c r="W23" s="609"/>
      <c r="X23" s="610"/>
    </row>
    <row r="24" spans="1:24" ht="15" customHeight="1">
      <c r="A24" s="1734"/>
      <c r="B24" s="1735"/>
      <c r="C24" s="1729" t="s">
        <v>3211</v>
      </c>
      <c r="D24" s="1730"/>
      <c r="E24" s="1730"/>
      <c r="F24" s="1730"/>
      <c r="G24" s="1731"/>
      <c r="H24" s="1740" t="str">
        <f>cst_wskakunin_dairi1__address</f>
        <v/>
      </c>
      <c r="I24" s="1741"/>
      <c r="J24" s="1741"/>
      <c r="K24" s="1741"/>
      <c r="L24" s="1741"/>
      <c r="M24" s="1741"/>
      <c r="N24" s="1741"/>
      <c r="O24" s="1741"/>
      <c r="P24" s="1741"/>
      <c r="Q24" s="1741"/>
      <c r="R24" s="1741"/>
      <c r="S24" s="1741"/>
      <c r="T24" s="1741"/>
      <c r="U24" s="1741"/>
      <c r="V24" s="1741"/>
      <c r="W24" s="1741"/>
      <c r="X24" s="1742"/>
    </row>
    <row r="25" spans="1:24" ht="15" customHeight="1">
      <c r="A25" s="1736"/>
      <c r="B25" s="1737"/>
      <c r="C25" s="1712" t="s">
        <v>3212</v>
      </c>
      <c r="D25" s="1713"/>
      <c r="E25" s="1713"/>
      <c r="F25" s="1713"/>
      <c r="G25" s="1714"/>
      <c r="H25" s="1715" t="str">
        <f>cst_wskakunin_dairi1_TEL</f>
        <v/>
      </c>
      <c r="I25" s="1716"/>
      <c r="J25" s="1716"/>
      <c r="K25" s="1716"/>
      <c r="L25" s="1716"/>
      <c r="M25" s="1716"/>
      <c r="N25" s="1716"/>
      <c r="O25" s="1716"/>
      <c r="P25" s="1716"/>
      <c r="Q25" s="1716"/>
      <c r="R25" s="1716"/>
      <c r="S25" s="1716"/>
      <c r="T25" s="1716"/>
      <c r="U25" s="1716"/>
      <c r="V25" s="1716"/>
      <c r="W25" s="1716"/>
      <c r="X25" s="1717"/>
    </row>
    <row r="26" spans="1:24" ht="15" customHeight="1">
      <c r="A26" s="1732" t="s">
        <v>3213</v>
      </c>
      <c r="B26" s="1733"/>
      <c r="C26" s="1690" t="s">
        <v>3198</v>
      </c>
      <c r="D26" s="1691"/>
      <c r="E26" s="1691"/>
      <c r="F26" s="1691"/>
      <c r="G26" s="1692"/>
      <c r="H26" s="1693" t="str">
        <f>cst_wskakunin_sekkei1_SIKAKU</f>
        <v/>
      </c>
      <c r="I26" s="1694"/>
      <c r="J26" s="595" t="s">
        <v>552</v>
      </c>
      <c r="K26" s="596"/>
      <c r="L26" s="1694" t="str">
        <f>cst_wskakunin_sekkei1_TOUROKU_KIKAN</f>
        <v/>
      </c>
      <c r="M26" s="1694"/>
      <c r="N26" s="1694"/>
      <c r="O26" s="1694"/>
      <c r="P26" s="595" t="s">
        <v>558</v>
      </c>
      <c r="Q26" s="596"/>
      <c r="R26" s="1695" t="str">
        <f>cst_wskakunin_sekkei1_KENTIKUSI_NO</f>
        <v/>
      </c>
      <c r="S26" s="1695"/>
      <c r="T26" s="1695"/>
      <c r="U26" s="1695"/>
      <c r="V26" s="1695"/>
      <c r="W26" s="1695"/>
      <c r="X26" s="597" t="s">
        <v>375</v>
      </c>
    </row>
    <row r="27" spans="1:24" ht="15" customHeight="1">
      <c r="A27" s="1734"/>
      <c r="B27" s="1735"/>
      <c r="C27" s="1696" t="s">
        <v>3199</v>
      </c>
      <c r="D27" s="1697"/>
      <c r="E27" s="1697"/>
      <c r="F27" s="1697"/>
      <c r="G27" s="1698"/>
      <c r="H27" s="1699" t="str">
        <f>cst_wskakunin_sekkei1_NAME</f>
        <v/>
      </c>
      <c r="I27" s="1700"/>
      <c r="J27" s="1700"/>
      <c r="K27" s="1700"/>
      <c r="L27" s="1700"/>
      <c r="M27" s="1700"/>
      <c r="N27" s="1700"/>
      <c r="O27" s="1700"/>
      <c r="P27" s="1700"/>
      <c r="Q27" s="598" t="s">
        <v>372</v>
      </c>
      <c r="R27" s="598"/>
      <c r="S27" s="598"/>
      <c r="T27" s="598"/>
      <c r="U27" s="598"/>
      <c r="V27" s="598"/>
      <c r="W27" s="598"/>
      <c r="X27" s="599"/>
    </row>
    <row r="28" spans="1:24" ht="15" customHeight="1">
      <c r="A28" s="1734"/>
      <c r="B28" s="1735"/>
      <c r="C28" s="1729" t="s">
        <v>3200</v>
      </c>
      <c r="D28" s="1730"/>
      <c r="E28" s="1730"/>
      <c r="F28" s="1730"/>
      <c r="G28" s="1731"/>
      <c r="H28" s="1707" t="str">
        <f>cst_wskakunin_sekkei1_JIMU_SIKAKU</f>
        <v/>
      </c>
      <c r="I28" s="1708"/>
      <c r="J28" s="1709" t="s">
        <v>553</v>
      </c>
      <c r="K28" s="1709"/>
      <c r="L28" s="1709"/>
      <c r="M28" s="1708" t="str">
        <f>cst_wskakunin_sekkei1_JIMU_TOUROKU_KIKAN</f>
        <v/>
      </c>
      <c r="N28" s="1708"/>
      <c r="O28" s="1708"/>
      <c r="P28" s="600" t="s">
        <v>559</v>
      </c>
      <c r="Q28" s="601"/>
      <c r="R28" s="600"/>
      <c r="S28" s="1710" t="str">
        <f>cst_wskakunin_sekkei1_JIMU_NO</f>
        <v/>
      </c>
      <c r="T28" s="1710"/>
      <c r="U28" s="1710"/>
      <c r="V28" s="1710"/>
      <c r="W28" s="1710"/>
      <c r="X28" s="602" t="s">
        <v>375</v>
      </c>
    </row>
    <row r="29" spans="1:24" ht="15" customHeight="1">
      <c r="A29" s="1734"/>
      <c r="B29" s="1735"/>
      <c r="C29" s="1729"/>
      <c r="D29" s="1730"/>
      <c r="E29" s="1730"/>
      <c r="F29" s="1730"/>
      <c r="G29" s="1731"/>
      <c r="H29" s="1699" t="str">
        <f>cst_wskakunin_sekkei1_JIMU_NAME</f>
        <v/>
      </c>
      <c r="I29" s="1700"/>
      <c r="J29" s="1700"/>
      <c r="K29" s="1700"/>
      <c r="L29" s="1700"/>
      <c r="M29" s="1700"/>
      <c r="N29" s="1700"/>
      <c r="O29" s="1700"/>
      <c r="P29" s="1700"/>
      <c r="Q29" s="1700"/>
      <c r="R29" s="1700"/>
      <c r="S29" s="1700"/>
      <c r="T29" s="1700"/>
      <c r="U29" s="1700"/>
      <c r="V29" s="1700"/>
      <c r="W29" s="1700"/>
      <c r="X29" s="1711"/>
    </row>
    <row r="30" spans="1:24" ht="15" customHeight="1">
      <c r="A30" s="1734"/>
      <c r="B30" s="1735"/>
      <c r="C30" s="1729" t="s">
        <v>3214</v>
      </c>
      <c r="D30" s="1730"/>
      <c r="E30" s="1730"/>
      <c r="F30" s="1730"/>
      <c r="G30" s="1731"/>
      <c r="H30" s="1740" t="str">
        <f>cst_wskakunin_sekkei1__address</f>
        <v/>
      </c>
      <c r="I30" s="1741"/>
      <c r="J30" s="1741"/>
      <c r="K30" s="1741"/>
      <c r="L30" s="1741"/>
      <c r="M30" s="1741"/>
      <c r="N30" s="1741"/>
      <c r="O30" s="1741"/>
      <c r="P30" s="1741"/>
      <c r="Q30" s="1741"/>
      <c r="R30" s="1741"/>
      <c r="S30" s="1741"/>
      <c r="T30" s="1741"/>
      <c r="U30" s="1741"/>
      <c r="V30" s="1741"/>
      <c r="W30" s="1741"/>
      <c r="X30" s="1742"/>
    </row>
    <row r="31" spans="1:24" ht="15" customHeight="1">
      <c r="A31" s="1736"/>
      <c r="B31" s="1737"/>
      <c r="C31" s="1712" t="s">
        <v>3201</v>
      </c>
      <c r="D31" s="1713"/>
      <c r="E31" s="1713"/>
      <c r="F31" s="1713"/>
      <c r="G31" s="1714"/>
      <c r="H31" s="1715" t="str">
        <f>cst_wskakunin_sekkei1_TEL</f>
        <v/>
      </c>
      <c r="I31" s="1716"/>
      <c r="J31" s="1716"/>
      <c r="K31" s="1716"/>
      <c r="L31" s="1716"/>
      <c r="M31" s="1716"/>
      <c r="N31" s="1716"/>
      <c r="O31" s="1716"/>
      <c r="P31" s="1716"/>
      <c r="Q31" s="1716"/>
      <c r="R31" s="1716"/>
      <c r="S31" s="1716"/>
      <c r="T31" s="1716"/>
      <c r="U31" s="1716"/>
      <c r="V31" s="1716"/>
      <c r="W31" s="1716"/>
      <c r="X31" s="1717"/>
    </row>
    <row r="32" spans="1:24" ht="15" customHeight="1">
      <c r="A32" s="1749" t="s">
        <v>3215</v>
      </c>
      <c r="B32" s="1750"/>
      <c r="C32" s="1755" t="s">
        <v>3216</v>
      </c>
      <c r="D32" s="1756"/>
      <c r="E32" s="1756"/>
      <c r="F32" s="1756"/>
      <c r="G32" s="1757"/>
      <c r="H32" s="1678" t="str">
        <f>cst_wskakunin_BUILD__address</f>
        <v/>
      </c>
      <c r="I32" s="1679"/>
      <c r="J32" s="1679"/>
      <c r="K32" s="1679"/>
      <c r="L32" s="1679"/>
      <c r="M32" s="1679"/>
      <c r="N32" s="1679"/>
      <c r="O32" s="1679"/>
      <c r="P32" s="1679"/>
      <c r="Q32" s="1679"/>
      <c r="R32" s="1679"/>
      <c r="S32" s="1679"/>
      <c r="T32" s="1679"/>
      <c r="U32" s="1679"/>
      <c r="V32" s="1679"/>
      <c r="W32" s="1679"/>
      <c r="X32" s="1680"/>
    </row>
    <row r="33" spans="1:24" ht="15" customHeight="1">
      <c r="A33" s="1751"/>
      <c r="B33" s="1752"/>
      <c r="C33" s="1729"/>
      <c r="D33" s="1730"/>
      <c r="E33" s="1730"/>
      <c r="F33" s="1730"/>
      <c r="G33" s="1731"/>
      <c r="H33" s="1681"/>
      <c r="I33" s="1682"/>
      <c r="J33" s="1682"/>
      <c r="K33" s="1682"/>
      <c r="L33" s="1682"/>
      <c r="M33" s="1682"/>
      <c r="N33" s="1682"/>
      <c r="O33" s="1682"/>
      <c r="P33" s="1682"/>
      <c r="Q33" s="1682"/>
      <c r="R33" s="1682"/>
      <c r="S33" s="1682"/>
      <c r="T33" s="1682"/>
      <c r="U33" s="1682"/>
      <c r="V33" s="1682"/>
      <c r="W33" s="1682"/>
      <c r="X33" s="1683"/>
    </row>
    <row r="34" spans="1:24" ht="15" customHeight="1">
      <c r="A34" s="1751"/>
      <c r="B34" s="1752"/>
      <c r="C34" s="1758" t="s">
        <v>3217</v>
      </c>
      <c r="D34" s="1759"/>
      <c r="E34" s="1759"/>
      <c r="F34" s="1759"/>
      <c r="G34" s="1760"/>
      <c r="H34" s="1761"/>
      <c r="I34" s="1762"/>
      <c r="J34" s="1762"/>
      <c r="K34" s="1762"/>
      <c r="L34" s="1762"/>
      <c r="M34" s="1762"/>
      <c r="N34" s="1759" t="s">
        <v>3615</v>
      </c>
      <c r="O34" s="1759"/>
      <c r="P34" s="1759"/>
      <c r="Q34" s="1759"/>
      <c r="R34" s="1759"/>
      <c r="S34" s="1763" t="str">
        <f>cst_wskakunin_p4_1_youto1_YOUTO</f>
        <v/>
      </c>
      <c r="T34" s="1763"/>
      <c r="U34" s="1763"/>
      <c r="V34" s="1763"/>
      <c r="W34" s="1763"/>
      <c r="X34" s="1764"/>
    </row>
    <row r="35" spans="1:24" ht="15" customHeight="1">
      <c r="A35" s="1751"/>
      <c r="B35" s="1752"/>
      <c r="C35" s="1758"/>
      <c r="D35" s="1759"/>
      <c r="E35" s="1759"/>
      <c r="F35" s="1759"/>
      <c r="G35" s="1760"/>
      <c r="H35" s="1761"/>
      <c r="I35" s="1762"/>
      <c r="J35" s="1762"/>
      <c r="K35" s="1762"/>
      <c r="L35" s="1762"/>
      <c r="M35" s="1762"/>
      <c r="N35" s="1759"/>
      <c r="O35" s="1759"/>
      <c r="P35" s="1759"/>
      <c r="Q35" s="1759"/>
      <c r="R35" s="1759"/>
      <c r="S35" s="1763"/>
      <c r="T35" s="1763"/>
      <c r="U35" s="1763"/>
      <c r="V35" s="1763"/>
      <c r="W35" s="1763"/>
      <c r="X35" s="1764"/>
    </row>
    <row r="36" spans="1:24" ht="15" customHeight="1">
      <c r="A36" s="1753"/>
      <c r="B36" s="1754"/>
      <c r="C36" s="1765" t="s">
        <v>3218</v>
      </c>
      <c r="D36" s="1766"/>
      <c r="E36" s="1766"/>
      <c r="F36" s="1766"/>
      <c r="G36" s="1767"/>
      <c r="H36" s="1768" t="str">
        <f>cst_wskakunin_p4_1__kouji</f>
        <v/>
      </c>
      <c r="I36" s="1769"/>
      <c r="J36" s="1769"/>
      <c r="K36" s="1769"/>
      <c r="L36" s="1769"/>
      <c r="M36" s="1769"/>
      <c r="N36" s="1769"/>
      <c r="O36" s="1769"/>
      <c r="P36" s="1769"/>
      <c r="Q36" s="1769"/>
      <c r="R36" s="1769"/>
      <c r="S36" s="1769"/>
      <c r="T36" s="1769"/>
      <c r="U36" s="1769"/>
      <c r="V36" s="1769"/>
      <c r="W36" s="1769"/>
      <c r="X36" s="1770"/>
    </row>
    <row r="37" spans="1:24" ht="15" customHeight="1">
      <c r="A37" s="1749" t="s">
        <v>3219</v>
      </c>
      <c r="B37" s="1774"/>
      <c r="C37" s="1777" t="s">
        <v>3220</v>
      </c>
      <c r="D37" s="1778"/>
      <c r="E37" s="1778"/>
      <c r="F37" s="1778"/>
      <c r="G37" s="1779"/>
      <c r="H37" s="611"/>
      <c r="I37" s="612" t="s">
        <v>3221</v>
      </c>
      <c r="J37" s="612"/>
      <c r="K37" s="613"/>
      <c r="L37" s="612" t="s">
        <v>3222</v>
      </c>
      <c r="M37" s="612"/>
      <c r="N37" s="612"/>
      <c r="O37" s="612"/>
      <c r="P37" s="612"/>
      <c r="Q37" s="612"/>
      <c r="R37" s="612"/>
      <c r="S37" s="612"/>
      <c r="T37" s="612"/>
      <c r="U37" s="612"/>
      <c r="V37" s="612"/>
      <c r="W37" s="612"/>
      <c r="X37" s="614"/>
    </row>
    <row r="38" spans="1:24" ht="15" customHeight="1">
      <c r="A38" s="1751"/>
      <c r="B38" s="1775"/>
      <c r="C38" s="607"/>
      <c r="D38" s="1780" t="s">
        <v>3223</v>
      </c>
      <c r="E38" s="1781"/>
      <c r="F38" s="1781"/>
      <c r="G38" s="1782"/>
      <c r="H38" s="1771"/>
      <c r="I38" s="1772"/>
      <c r="J38" s="1772"/>
      <c r="K38" s="1772"/>
      <c r="L38" s="1772"/>
      <c r="M38" s="1772"/>
      <c r="N38" s="1772"/>
      <c r="O38" s="1772"/>
      <c r="P38" s="1772"/>
      <c r="Q38" s="1772"/>
      <c r="R38" s="1772"/>
      <c r="S38" s="1772"/>
      <c r="T38" s="1772"/>
      <c r="U38" s="1772"/>
      <c r="V38" s="1772"/>
      <c r="W38" s="1772"/>
      <c r="X38" s="1773"/>
    </row>
    <row r="39" spans="1:24" ht="15" customHeight="1">
      <c r="A39" s="1751"/>
      <c r="B39" s="1775"/>
      <c r="C39" s="607"/>
      <c r="D39" s="1783"/>
      <c r="E39" s="1784"/>
      <c r="F39" s="1784"/>
      <c r="G39" s="1785"/>
      <c r="H39" s="1724"/>
      <c r="I39" s="1725"/>
      <c r="J39" s="1725"/>
      <c r="K39" s="1725"/>
      <c r="L39" s="1725"/>
      <c r="M39" s="1725"/>
      <c r="N39" s="1725"/>
      <c r="O39" s="1725"/>
      <c r="P39" s="1725"/>
      <c r="Q39" s="1725"/>
      <c r="R39" s="1725"/>
      <c r="S39" s="1725"/>
      <c r="T39" s="1725"/>
      <c r="U39" s="1725"/>
      <c r="V39" s="1725"/>
      <c r="W39" s="1725"/>
      <c r="X39" s="1726"/>
    </row>
    <row r="40" spans="1:24" ht="15" customHeight="1">
      <c r="A40" s="1751"/>
      <c r="B40" s="1775"/>
      <c r="C40" s="1718" t="s">
        <v>3224</v>
      </c>
      <c r="D40" s="1719"/>
      <c r="E40" s="1719"/>
      <c r="F40" s="1719"/>
      <c r="G40" s="1720"/>
      <c r="H40" s="615"/>
      <c r="I40" s="616" t="s">
        <v>3221</v>
      </c>
      <c r="J40" s="616"/>
      <c r="K40" s="617"/>
      <c r="L40" s="616" t="s">
        <v>3222</v>
      </c>
      <c r="M40" s="616"/>
      <c r="N40" s="616"/>
      <c r="O40" s="616"/>
      <c r="P40" s="616"/>
      <c r="Q40" s="616"/>
      <c r="R40" s="616"/>
      <c r="S40" s="616"/>
      <c r="T40" s="616"/>
      <c r="U40" s="616"/>
      <c r="V40" s="616"/>
      <c r="W40" s="616"/>
      <c r="X40" s="618"/>
    </row>
    <row r="41" spans="1:24" ht="15" customHeight="1">
      <c r="A41" s="1751"/>
      <c r="B41" s="1775"/>
      <c r="C41" s="607"/>
      <c r="D41" s="1780" t="s">
        <v>3223</v>
      </c>
      <c r="E41" s="1781"/>
      <c r="F41" s="1781"/>
      <c r="G41" s="1782"/>
      <c r="H41" s="1743"/>
      <c r="I41" s="1744"/>
      <c r="J41" s="1744"/>
      <c r="K41" s="1744"/>
      <c r="L41" s="1744"/>
      <c r="M41" s="1744"/>
      <c r="N41" s="1744"/>
      <c r="O41" s="1744"/>
      <c r="P41" s="1744"/>
      <c r="Q41" s="1744"/>
      <c r="R41" s="1744"/>
      <c r="S41" s="1744"/>
      <c r="T41" s="1744"/>
      <c r="U41" s="1744"/>
      <c r="V41" s="1744"/>
      <c r="W41" s="1744"/>
      <c r="X41" s="1745"/>
    </row>
    <row r="42" spans="1:24" ht="15" customHeight="1">
      <c r="A42" s="1751"/>
      <c r="B42" s="1775"/>
      <c r="C42" s="607"/>
      <c r="D42" s="1786"/>
      <c r="E42" s="1787"/>
      <c r="F42" s="1787"/>
      <c r="G42" s="1788"/>
      <c r="H42" s="1789" t="s">
        <v>376</v>
      </c>
      <c r="I42" s="1790"/>
      <c r="J42" s="1790"/>
      <c r="K42" s="1790"/>
      <c r="L42" s="1790"/>
      <c r="M42" s="1790"/>
      <c r="N42" s="1790"/>
      <c r="O42" s="1790"/>
      <c r="P42" s="1790"/>
      <c r="Q42" s="1790"/>
      <c r="R42" s="1790"/>
      <c r="S42" s="1790"/>
      <c r="T42" s="1790"/>
      <c r="U42" s="1790"/>
      <c r="V42" s="1790"/>
      <c r="W42" s="1790"/>
      <c r="X42" s="1791"/>
    </row>
    <row r="43" spans="1:24" ht="15" customHeight="1">
      <c r="A43" s="1751"/>
      <c r="B43" s="1775"/>
      <c r="C43" s="607"/>
      <c r="D43" s="1786"/>
      <c r="E43" s="1787"/>
      <c r="F43" s="1787"/>
      <c r="G43" s="1788"/>
      <c r="H43" s="1789" t="s">
        <v>376</v>
      </c>
      <c r="I43" s="1790"/>
      <c r="J43" s="1790"/>
      <c r="K43" s="1790"/>
      <c r="L43" s="1790"/>
      <c r="M43" s="1790"/>
      <c r="N43" s="1790"/>
      <c r="O43" s="1790"/>
      <c r="P43" s="1790"/>
      <c r="Q43" s="1790"/>
      <c r="R43" s="1790"/>
      <c r="S43" s="1790"/>
      <c r="T43" s="1790"/>
      <c r="U43" s="1790"/>
      <c r="V43" s="1790"/>
      <c r="W43" s="1790"/>
      <c r="X43" s="1791"/>
    </row>
    <row r="44" spans="1:24" ht="15" customHeight="1">
      <c r="A44" s="1751"/>
      <c r="B44" s="1775"/>
      <c r="C44" s="591"/>
      <c r="D44" s="1783"/>
      <c r="E44" s="1784"/>
      <c r="F44" s="1784"/>
      <c r="G44" s="1785"/>
      <c r="H44" s="1746"/>
      <c r="I44" s="1747"/>
      <c r="J44" s="1747"/>
      <c r="K44" s="1747"/>
      <c r="L44" s="1747"/>
      <c r="M44" s="1747"/>
      <c r="N44" s="1747"/>
      <c r="O44" s="1747"/>
      <c r="P44" s="1747"/>
      <c r="Q44" s="1747"/>
      <c r="R44" s="1747"/>
      <c r="S44" s="1747"/>
      <c r="T44" s="1747"/>
      <c r="U44" s="1747"/>
      <c r="V44" s="1747"/>
      <c r="W44" s="1747"/>
      <c r="X44" s="1748"/>
    </row>
    <row r="45" spans="1:24" ht="15" customHeight="1">
      <c r="A45" s="1751"/>
      <c r="B45" s="1775"/>
      <c r="C45" s="1777" t="s">
        <v>3225</v>
      </c>
      <c r="D45" s="1778"/>
      <c r="E45" s="1778"/>
      <c r="F45" s="1778"/>
      <c r="G45" s="1779"/>
      <c r="H45" s="611"/>
      <c r="I45" s="612" t="s">
        <v>3221</v>
      </c>
      <c r="J45" s="612"/>
      <c r="K45" s="613"/>
      <c r="L45" s="612" t="s">
        <v>3222</v>
      </c>
      <c r="M45" s="612"/>
      <c r="N45" s="612"/>
      <c r="O45" s="612"/>
      <c r="P45" s="612"/>
      <c r="Q45" s="612"/>
      <c r="R45" s="612"/>
      <c r="S45" s="612"/>
      <c r="T45" s="612"/>
      <c r="U45" s="612"/>
      <c r="V45" s="612"/>
      <c r="W45" s="612"/>
      <c r="X45" s="614"/>
    </row>
    <row r="46" spans="1:24" ht="15" customHeight="1">
      <c r="A46" s="1751"/>
      <c r="B46" s="1775"/>
      <c r="C46" s="607"/>
      <c r="D46" s="1780" t="s">
        <v>3223</v>
      </c>
      <c r="E46" s="1781"/>
      <c r="F46" s="1781"/>
      <c r="G46" s="1782"/>
      <c r="H46" s="1743" t="s">
        <v>376</v>
      </c>
      <c r="I46" s="1744"/>
      <c r="J46" s="1744"/>
      <c r="K46" s="1744"/>
      <c r="L46" s="1744"/>
      <c r="M46" s="1744"/>
      <c r="N46" s="1744"/>
      <c r="O46" s="1744"/>
      <c r="P46" s="1744"/>
      <c r="Q46" s="1744"/>
      <c r="R46" s="1744"/>
      <c r="S46" s="1744"/>
      <c r="T46" s="1744"/>
      <c r="U46" s="1744"/>
      <c r="V46" s="1744"/>
      <c r="W46" s="1744"/>
      <c r="X46" s="1745"/>
    </row>
    <row r="47" spans="1:24" ht="15" customHeight="1">
      <c r="A47" s="1751"/>
      <c r="B47" s="1775"/>
      <c r="C47" s="607"/>
      <c r="D47" s="1783"/>
      <c r="E47" s="1784"/>
      <c r="F47" s="1784"/>
      <c r="G47" s="1785"/>
      <c r="H47" s="1746"/>
      <c r="I47" s="1747"/>
      <c r="J47" s="1747"/>
      <c r="K47" s="1747"/>
      <c r="L47" s="1747"/>
      <c r="M47" s="1747"/>
      <c r="N47" s="1747"/>
      <c r="O47" s="1747"/>
      <c r="P47" s="1747"/>
      <c r="Q47" s="1747"/>
      <c r="R47" s="1747"/>
      <c r="S47" s="1747"/>
      <c r="T47" s="1747"/>
      <c r="U47" s="1747"/>
      <c r="V47" s="1747"/>
      <c r="W47" s="1747"/>
      <c r="X47" s="1748"/>
    </row>
    <row r="48" spans="1:24" ht="15" customHeight="1">
      <c r="A48" s="1751"/>
      <c r="B48" s="1775"/>
      <c r="C48" s="1718" t="s">
        <v>3226</v>
      </c>
      <c r="D48" s="1719"/>
      <c r="E48" s="1719"/>
      <c r="F48" s="1719"/>
      <c r="G48" s="1720"/>
      <c r="H48" s="1771"/>
      <c r="I48" s="1772"/>
      <c r="J48" s="1772"/>
      <c r="K48" s="1772"/>
      <c r="L48" s="1772"/>
      <c r="M48" s="1772"/>
      <c r="N48" s="1772"/>
      <c r="O48" s="1772"/>
      <c r="P48" s="1772"/>
      <c r="Q48" s="1772"/>
      <c r="R48" s="1772"/>
      <c r="S48" s="1772"/>
      <c r="T48" s="1772"/>
      <c r="U48" s="1772"/>
      <c r="V48" s="1772"/>
      <c r="W48" s="1772"/>
      <c r="X48" s="1773"/>
    </row>
    <row r="49" spans="1:24" ht="15" customHeight="1">
      <c r="A49" s="1751"/>
      <c r="B49" s="1775"/>
      <c r="C49" s="607"/>
      <c r="G49" s="606"/>
      <c r="H49" s="1721"/>
      <c r="I49" s="1722"/>
      <c r="J49" s="1722"/>
      <c r="K49" s="1722"/>
      <c r="L49" s="1722"/>
      <c r="M49" s="1722"/>
      <c r="N49" s="1722"/>
      <c r="O49" s="1722"/>
      <c r="P49" s="1722"/>
      <c r="Q49" s="1722"/>
      <c r="R49" s="1722"/>
      <c r="S49" s="1722"/>
      <c r="T49" s="1722"/>
      <c r="U49" s="1722"/>
      <c r="V49" s="1722"/>
      <c r="W49" s="1722"/>
      <c r="X49" s="1723"/>
    </row>
    <row r="50" spans="1:24" ht="15" customHeight="1">
      <c r="A50" s="1751"/>
      <c r="B50" s="1775"/>
      <c r="C50" s="591"/>
      <c r="D50" s="593"/>
      <c r="E50" s="593"/>
      <c r="F50" s="593"/>
      <c r="G50" s="594"/>
      <c r="H50" s="1724"/>
      <c r="I50" s="1725"/>
      <c r="J50" s="1725"/>
      <c r="K50" s="1725"/>
      <c r="L50" s="1725"/>
      <c r="M50" s="1725"/>
      <c r="N50" s="1725"/>
      <c r="O50" s="1725"/>
      <c r="P50" s="1725"/>
      <c r="Q50" s="1725"/>
      <c r="R50" s="1725"/>
      <c r="S50" s="1725"/>
      <c r="T50" s="1725"/>
      <c r="U50" s="1725"/>
      <c r="V50" s="1725"/>
      <c r="W50" s="1725"/>
      <c r="X50" s="1726"/>
    </row>
    <row r="51" spans="1:24" ht="15" customHeight="1">
      <c r="A51" s="1751"/>
      <c r="B51" s="1775"/>
      <c r="C51" s="1777" t="s">
        <v>3227</v>
      </c>
      <c r="D51" s="1778"/>
      <c r="E51" s="1778"/>
      <c r="F51" s="1778"/>
      <c r="G51" s="1779"/>
      <c r="H51" s="1721"/>
      <c r="I51" s="1722"/>
      <c r="J51" s="1722"/>
      <c r="K51" s="1722"/>
      <c r="L51" s="1722"/>
      <c r="M51" s="1722"/>
      <c r="N51" s="1722"/>
      <c r="O51" s="1722"/>
      <c r="P51" s="1722"/>
      <c r="Q51" s="1722"/>
      <c r="R51" s="1722"/>
      <c r="S51" s="1722"/>
      <c r="T51" s="1722"/>
      <c r="U51" s="1722"/>
      <c r="V51" s="1722"/>
      <c r="W51" s="1722"/>
      <c r="X51" s="1723"/>
    </row>
    <row r="52" spans="1:24" ht="15" customHeight="1">
      <c r="A52" s="1751"/>
      <c r="B52" s="1775"/>
      <c r="C52" s="619"/>
      <c r="D52" s="309"/>
      <c r="E52" s="309"/>
      <c r="F52" s="309"/>
      <c r="G52" s="620"/>
      <c r="H52" s="1721"/>
      <c r="I52" s="1722"/>
      <c r="J52" s="1722"/>
      <c r="K52" s="1722"/>
      <c r="L52" s="1722"/>
      <c r="M52" s="1722"/>
      <c r="N52" s="1722"/>
      <c r="O52" s="1722"/>
      <c r="P52" s="1722"/>
      <c r="Q52" s="1722"/>
      <c r="R52" s="1722"/>
      <c r="S52" s="1722"/>
      <c r="T52" s="1722"/>
      <c r="U52" s="1722"/>
      <c r="V52" s="1722"/>
      <c r="W52" s="1722"/>
      <c r="X52" s="1723"/>
    </row>
    <row r="53" spans="1:24" ht="15" customHeight="1">
      <c r="A53" s="1751"/>
      <c r="B53" s="1775"/>
      <c r="C53" s="607" t="s">
        <v>3228</v>
      </c>
      <c r="G53" s="606"/>
      <c r="H53" s="1721"/>
      <c r="I53" s="1722"/>
      <c r="J53" s="1722"/>
      <c r="K53" s="1722"/>
      <c r="L53" s="1722"/>
      <c r="M53" s="1722"/>
      <c r="N53" s="1722"/>
      <c r="O53" s="1722"/>
      <c r="P53" s="1722"/>
      <c r="Q53" s="1722"/>
      <c r="R53" s="1722"/>
      <c r="S53" s="1722"/>
      <c r="T53" s="1722"/>
      <c r="U53" s="1722"/>
      <c r="V53" s="1722"/>
      <c r="W53" s="1722"/>
      <c r="X53" s="1723"/>
    </row>
    <row r="54" spans="1:24" ht="15" customHeight="1">
      <c r="A54" s="1753"/>
      <c r="B54" s="1776"/>
      <c r="C54" s="591"/>
      <c r="D54" s="593"/>
      <c r="E54" s="593"/>
      <c r="F54" s="593"/>
      <c r="G54" s="594"/>
      <c r="H54" s="1724"/>
      <c r="I54" s="1725"/>
      <c r="J54" s="1725"/>
      <c r="K54" s="1725"/>
      <c r="L54" s="1725"/>
      <c r="M54" s="1725"/>
      <c r="N54" s="1725"/>
      <c r="O54" s="1725"/>
      <c r="P54" s="1725"/>
      <c r="Q54" s="1725"/>
      <c r="R54" s="1725"/>
      <c r="S54" s="1725"/>
      <c r="T54" s="1725"/>
      <c r="U54" s="1725"/>
      <c r="V54" s="1725"/>
      <c r="W54" s="1725"/>
      <c r="X54" s="1726"/>
    </row>
  </sheetData>
  <mergeCells count="59">
    <mergeCell ref="C48:G48"/>
    <mergeCell ref="H48:X50"/>
    <mergeCell ref="A37:B54"/>
    <mergeCell ref="C37:G37"/>
    <mergeCell ref="D38:G39"/>
    <mergeCell ref="H38:X39"/>
    <mergeCell ref="C40:G40"/>
    <mergeCell ref="D41:G44"/>
    <mergeCell ref="H41:X41"/>
    <mergeCell ref="H42:X42"/>
    <mergeCell ref="H43:X43"/>
    <mergeCell ref="H44:X44"/>
    <mergeCell ref="C51:G51"/>
    <mergeCell ref="H51:X54"/>
    <mergeCell ref="C45:G45"/>
    <mergeCell ref="D46:G47"/>
    <mergeCell ref="H46:X46"/>
    <mergeCell ref="H47:X47"/>
    <mergeCell ref="H30:X30"/>
    <mergeCell ref="A32:B36"/>
    <mergeCell ref="C32:G33"/>
    <mergeCell ref="H32:X33"/>
    <mergeCell ref="C34:G35"/>
    <mergeCell ref="H34:M35"/>
    <mergeCell ref="N34:R35"/>
    <mergeCell ref="S34:X35"/>
    <mergeCell ref="C36:G36"/>
    <mergeCell ref="H36:X36"/>
    <mergeCell ref="C31:G31"/>
    <mergeCell ref="H31:X31"/>
    <mergeCell ref="A26:B31"/>
    <mergeCell ref="C26:G26"/>
    <mergeCell ref="H26:I26"/>
    <mergeCell ref="L26:O26"/>
    <mergeCell ref="R26:W26"/>
    <mergeCell ref="C27:G27"/>
    <mergeCell ref="H27:P27"/>
    <mergeCell ref="C30:G30"/>
    <mergeCell ref="Q19:W20"/>
    <mergeCell ref="Q21:W21"/>
    <mergeCell ref="A23:B25"/>
    <mergeCell ref="C23:G23"/>
    <mergeCell ref="H23:P23"/>
    <mergeCell ref="C24:G24"/>
    <mergeCell ref="H24:X24"/>
    <mergeCell ref="C25:G25"/>
    <mergeCell ref="H25:X25"/>
    <mergeCell ref="C28:G29"/>
    <mergeCell ref="H28:I28"/>
    <mergeCell ref="J28:L28"/>
    <mergeCell ref="M28:O28"/>
    <mergeCell ref="S28:W28"/>
    <mergeCell ref="H29:X29"/>
    <mergeCell ref="Q17:W18"/>
    <mergeCell ref="A1:X2"/>
    <mergeCell ref="C4:S4"/>
    <mergeCell ref="Q8:R8"/>
    <mergeCell ref="Q13:W14"/>
    <mergeCell ref="Q15:W16"/>
  </mergeCells>
  <phoneticPr fontId="139"/>
  <dataValidations count="3">
    <dataValidation allowBlank="1" showInputMessage="1" showErrorMessage="1" sqref="H25:X25 H31:X31 R26:W26 S8 S28:W28 U8 W8" xr:uid="{00000000-0002-0000-1800-000000000000}"/>
    <dataValidation type="list" allowBlank="1" showInputMessage="1" showErrorMessage="1" sqref="H41:X43" xr:uid="{00000000-0002-0000-1800-000001000000}">
      <formula1>"　,法20条に基づく令38条3項に規定する基礎の構造が不適合（基準時：H12）,法20条に基づく令46条4項に規定する必要壁量が不足(基準時：S56）,法20条に基づく令47条に規定する継手又は仕口の構造方法が不適合（基準時：H12）"</formula1>
    </dataValidation>
    <dataValidation type="list" allowBlank="1" showInputMessage="1" showErrorMessage="1" sqref="H46:X46" xr:uid="{00000000-0002-0000-1800-000002000000}">
      <formula1>"　,法28条の2に基づく令20条の8に規定する換気設備（24時間換気）が不足(基準時：H14）"</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10</xdr:col>
                    <xdr:colOff>28575</xdr:colOff>
                    <xdr:row>36</xdr:row>
                    <xdr:rowOff>0</xdr:rowOff>
                  </from>
                  <to>
                    <xdr:col>11</xdr:col>
                    <xdr:colOff>57150</xdr:colOff>
                    <xdr:row>37</xdr:row>
                    <xdr:rowOff>19050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7</xdr:col>
                    <xdr:colOff>38100</xdr:colOff>
                    <xdr:row>36</xdr:row>
                    <xdr:rowOff>0</xdr:rowOff>
                  </from>
                  <to>
                    <xdr:col>8</xdr:col>
                    <xdr:colOff>66675</xdr:colOff>
                    <xdr:row>37</xdr:row>
                    <xdr:rowOff>19050</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10</xdr:col>
                    <xdr:colOff>28575</xdr:colOff>
                    <xdr:row>39</xdr:row>
                    <xdr:rowOff>0</xdr:rowOff>
                  </from>
                  <to>
                    <xdr:col>11</xdr:col>
                    <xdr:colOff>57150</xdr:colOff>
                    <xdr:row>40</xdr:row>
                    <xdr:rowOff>19050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38100</xdr:colOff>
                    <xdr:row>39</xdr:row>
                    <xdr:rowOff>0</xdr:rowOff>
                  </from>
                  <to>
                    <xdr:col>8</xdr:col>
                    <xdr:colOff>66675</xdr:colOff>
                    <xdr:row>40</xdr:row>
                    <xdr:rowOff>19050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10</xdr:col>
                    <xdr:colOff>28575</xdr:colOff>
                    <xdr:row>43</xdr:row>
                    <xdr:rowOff>180975</xdr:rowOff>
                  </from>
                  <to>
                    <xdr:col>11</xdr:col>
                    <xdr:colOff>57150</xdr:colOff>
                    <xdr:row>45</xdr:row>
                    <xdr:rowOff>9525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38100</xdr:colOff>
                    <xdr:row>43</xdr:row>
                    <xdr:rowOff>180975</xdr:rowOff>
                  </from>
                  <to>
                    <xdr:col>8</xdr:col>
                    <xdr:colOff>66675</xdr:colOff>
                    <xdr:row>45</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5117038483843"/>
    <pageSetUpPr fitToPage="1"/>
  </sheetPr>
  <dimension ref="A1:W37"/>
  <sheetViews>
    <sheetView workbookViewId="0"/>
  </sheetViews>
  <sheetFormatPr defaultColWidth="3.625" defaultRowHeight="15" customHeight="1"/>
  <cols>
    <col min="1" max="2" width="4.5" style="655" bestFit="1" customWidth="1"/>
    <col min="3" max="3" width="2.5" style="621" bestFit="1" customWidth="1"/>
    <col min="4" max="4" width="9.75" style="621" bestFit="1" customWidth="1"/>
    <col min="5" max="5" width="20.5" style="621" bestFit="1" customWidth="1"/>
    <col min="6" max="6" width="53.875" style="621" bestFit="1" customWidth="1"/>
    <col min="7" max="7" width="3.625" style="621" customWidth="1"/>
    <col min="8" max="16384" width="3.625" style="621"/>
  </cols>
  <sheetData>
    <row r="1" spans="1:21" ht="14.25">
      <c r="A1" s="1802" t="s">
        <v>3229</v>
      </c>
      <c r="B1" s="1802"/>
      <c r="C1" s="1802"/>
      <c r="D1" s="1802"/>
      <c r="E1" s="1802"/>
      <c r="F1" s="1802"/>
      <c r="G1" s="1802"/>
      <c r="H1" s="1802"/>
      <c r="I1" s="1802"/>
      <c r="J1" s="1802"/>
      <c r="K1" s="1802"/>
      <c r="L1" s="1802"/>
      <c r="M1" s="1802"/>
      <c r="N1" s="1802"/>
      <c r="O1" s="1802"/>
      <c r="P1" s="1802"/>
      <c r="Q1" s="1802"/>
      <c r="R1" s="1802"/>
      <c r="S1" s="1802"/>
      <c r="T1" s="1802"/>
      <c r="U1" s="1802"/>
    </row>
    <row r="2" spans="1:21" thickBot="1">
      <c r="A2" s="622"/>
      <c r="B2" s="622"/>
      <c r="C2" s="622"/>
      <c r="D2" s="622"/>
      <c r="E2" s="622"/>
      <c r="F2" s="622"/>
      <c r="G2" s="622"/>
      <c r="H2" s="622"/>
      <c r="I2" s="622"/>
      <c r="J2" s="622"/>
      <c r="K2" s="622"/>
      <c r="L2" s="622"/>
      <c r="M2" s="622"/>
      <c r="N2" s="622"/>
      <c r="O2" s="622"/>
      <c r="P2" s="622"/>
      <c r="Q2" s="622"/>
      <c r="R2" s="622"/>
      <c r="S2" s="622"/>
      <c r="T2" s="622"/>
      <c r="U2" s="622"/>
    </row>
    <row r="3" spans="1:21" ht="15" customHeight="1">
      <c r="A3" s="1803" t="s">
        <v>3230</v>
      </c>
      <c r="B3" s="1804"/>
      <c r="C3" s="1805" t="s">
        <v>3231</v>
      </c>
      <c r="D3" s="1806"/>
      <c r="E3" s="1806"/>
      <c r="F3" s="1806" t="s">
        <v>3232</v>
      </c>
      <c r="G3" s="1806" t="s">
        <v>885</v>
      </c>
      <c r="H3" s="1806"/>
      <c r="I3" s="1806"/>
      <c r="J3" s="1806"/>
      <c r="K3" s="1806"/>
      <c r="L3" s="1806"/>
      <c r="M3" s="1806"/>
      <c r="N3" s="1806"/>
      <c r="O3" s="1806"/>
      <c r="P3" s="1806"/>
      <c r="Q3" s="1806"/>
      <c r="R3" s="1806"/>
      <c r="S3" s="1806"/>
      <c r="T3" s="1806"/>
      <c r="U3" s="1804"/>
    </row>
    <row r="4" spans="1:21" ht="23.25" thickBot="1">
      <c r="A4" s="623" t="s">
        <v>3233</v>
      </c>
      <c r="B4" s="624" t="s">
        <v>3234</v>
      </c>
      <c r="C4" s="1807"/>
      <c r="D4" s="1808"/>
      <c r="E4" s="1808"/>
      <c r="F4" s="1808"/>
      <c r="G4" s="1808"/>
      <c r="H4" s="1808"/>
      <c r="I4" s="1808"/>
      <c r="J4" s="1808"/>
      <c r="K4" s="1808"/>
      <c r="L4" s="1808"/>
      <c r="M4" s="1808"/>
      <c r="N4" s="1808"/>
      <c r="O4" s="1808"/>
      <c r="P4" s="1808"/>
      <c r="Q4" s="1808"/>
      <c r="R4" s="1808"/>
      <c r="S4" s="1808"/>
      <c r="T4" s="1808"/>
      <c r="U4" s="1809"/>
    </row>
    <row r="5" spans="1:21" ht="15" customHeight="1">
      <c r="A5" s="1792" t="s">
        <v>376</v>
      </c>
      <c r="B5" s="1795" t="s">
        <v>376</v>
      </c>
      <c r="C5" s="1798" t="s">
        <v>3235</v>
      </c>
      <c r="D5" s="625" t="s">
        <v>3236</v>
      </c>
      <c r="E5" s="626" t="s">
        <v>3237</v>
      </c>
      <c r="F5" s="627" t="s">
        <v>3238</v>
      </c>
      <c r="G5" s="628"/>
      <c r="H5" s="629" t="s">
        <v>3239</v>
      </c>
      <c r="I5" s="629"/>
      <c r="J5" s="629"/>
      <c r="K5" s="629"/>
      <c r="L5" s="629"/>
      <c r="M5" s="630"/>
      <c r="N5" s="629" t="s">
        <v>3240</v>
      </c>
      <c r="O5" s="629"/>
      <c r="P5" s="629"/>
      <c r="Q5" s="629"/>
      <c r="R5" s="629"/>
      <c r="S5" s="629"/>
      <c r="T5" s="629"/>
      <c r="U5" s="631"/>
    </row>
    <row r="6" spans="1:21" ht="15" customHeight="1">
      <c r="A6" s="1793"/>
      <c r="B6" s="1796"/>
      <c r="C6" s="1799"/>
      <c r="D6" s="632" t="s">
        <v>3241</v>
      </c>
      <c r="E6" s="633" t="s">
        <v>3242</v>
      </c>
      <c r="F6" s="634" t="s">
        <v>3243</v>
      </c>
      <c r="G6" s="635"/>
      <c r="H6" s="636" t="s">
        <v>3244</v>
      </c>
      <c r="I6" s="636"/>
      <c r="J6" s="637"/>
      <c r="K6" s="636" t="s">
        <v>3245</v>
      </c>
      <c r="L6" s="636"/>
      <c r="M6" s="637"/>
      <c r="N6" s="636" t="s">
        <v>3082</v>
      </c>
      <c r="O6" s="636"/>
      <c r="P6" s="1801"/>
      <c r="Q6" s="1801"/>
      <c r="R6" s="1801"/>
      <c r="S6" s="1801"/>
      <c r="T6" s="636" t="s">
        <v>6</v>
      </c>
      <c r="U6" s="638"/>
    </row>
    <row r="7" spans="1:21" ht="15" customHeight="1">
      <c r="A7" s="1793"/>
      <c r="B7" s="1796"/>
      <c r="C7" s="1799"/>
      <c r="D7" s="632" t="s">
        <v>3246</v>
      </c>
      <c r="E7" s="633" t="s">
        <v>3247</v>
      </c>
      <c r="F7" s="634" t="s">
        <v>3248</v>
      </c>
      <c r="G7" s="635"/>
      <c r="H7" s="636" t="s">
        <v>3249</v>
      </c>
      <c r="I7" s="636"/>
      <c r="J7" s="637"/>
      <c r="K7" s="636" t="s">
        <v>3250</v>
      </c>
      <c r="L7" s="636"/>
      <c r="M7" s="637"/>
      <c r="N7" s="636" t="s">
        <v>3251</v>
      </c>
      <c r="O7" s="636"/>
      <c r="P7" s="636"/>
      <c r="Q7" s="637"/>
      <c r="R7" s="636" t="s">
        <v>3252</v>
      </c>
      <c r="S7" s="636"/>
      <c r="T7" s="636"/>
      <c r="U7" s="638"/>
    </row>
    <row r="8" spans="1:21" ht="15" customHeight="1">
      <c r="A8" s="1793"/>
      <c r="B8" s="1796"/>
      <c r="C8" s="1799"/>
      <c r="D8" s="632" t="s">
        <v>3253</v>
      </c>
      <c r="E8" s="633" t="s">
        <v>3254</v>
      </c>
      <c r="F8" s="634" t="s">
        <v>3255</v>
      </c>
      <c r="G8" s="635"/>
      <c r="H8" s="636" t="s">
        <v>3249</v>
      </c>
      <c r="I8" s="636"/>
      <c r="J8" s="637"/>
      <c r="K8" s="636" t="s">
        <v>3250</v>
      </c>
      <c r="L8" s="636"/>
      <c r="M8" s="637"/>
      <c r="N8" s="636" t="s">
        <v>3256</v>
      </c>
      <c r="O8" s="636"/>
      <c r="P8" s="636"/>
      <c r="Q8" s="637"/>
      <c r="R8" s="636" t="s">
        <v>3252</v>
      </c>
      <c r="S8" s="636"/>
      <c r="T8" s="636"/>
      <c r="U8" s="638"/>
    </row>
    <row r="9" spans="1:21" ht="15" customHeight="1">
      <c r="A9" s="1793"/>
      <c r="B9" s="1796"/>
      <c r="C9" s="1799"/>
      <c r="D9" s="632" t="s">
        <v>3257</v>
      </c>
      <c r="E9" s="633" t="s">
        <v>3258</v>
      </c>
      <c r="F9" s="634" t="s">
        <v>3259</v>
      </c>
      <c r="G9" s="639"/>
      <c r="H9" s="636" t="s">
        <v>3260</v>
      </c>
      <c r="I9" s="636"/>
      <c r="J9" s="636"/>
      <c r="K9" s="636"/>
      <c r="L9" s="636"/>
      <c r="M9" s="636"/>
      <c r="N9" s="636"/>
      <c r="O9" s="636"/>
      <c r="P9" s="636"/>
      <c r="Q9" s="636"/>
      <c r="R9" s="636"/>
      <c r="S9" s="636"/>
      <c r="T9" s="636"/>
      <c r="U9" s="638"/>
    </row>
    <row r="10" spans="1:21" ht="15" customHeight="1">
      <c r="A10" s="1793"/>
      <c r="B10" s="1796"/>
      <c r="C10" s="1799"/>
      <c r="D10" s="632" t="s">
        <v>3261</v>
      </c>
      <c r="E10" s="633" t="s">
        <v>3262</v>
      </c>
      <c r="F10" s="634" t="s">
        <v>3263</v>
      </c>
      <c r="G10" s="635"/>
      <c r="H10" s="636" t="s">
        <v>3264</v>
      </c>
      <c r="I10" s="636"/>
      <c r="J10" s="636"/>
      <c r="K10" s="636"/>
      <c r="L10" s="636"/>
      <c r="M10" s="636"/>
      <c r="N10" s="636"/>
      <c r="O10" s="636"/>
      <c r="P10" s="636"/>
      <c r="Q10" s="636"/>
      <c r="R10" s="636"/>
      <c r="S10" s="636"/>
      <c r="T10" s="636"/>
      <c r="U10" s="638"/>
    </row>
    <row r="11" spans="1:21" ht="15" customHeight="1">
      <c r="A11" s="1793"/>
      <c r="B11" s="1796"/>
      <c r="C11" s="1799"/>
      <c r="D11" s="632" t="s">
        <v>3265</v>
      </c>
      <c r="E11" s="633" t="s">
        <v>3266</v>
      </c>
      <c r="F11" s="634" t="s">
        <v>3267</v>
      </c>
      <c r="G11" s="635"/>
      <c r="H11" s="636" t="s">
        <v>3268</v>
      </c>
      <c r="I11" s="636"/>
      <c r="J11" s="636"/>
      <c r="K11" s="637"/>
      <c r="L11" s="636" t="s">
        <v>3082</v>
      </c>
      <c r="M11" s="636"/>
      <c r="N11" s="1801"/>
      <c r="O11" s="1801"/>
      <c r="P11" s="1801"/>
      <c r="Q11" s="1801"/>
      <c r="R11" s="636" t="s">
        <v>6</v>
      </c>
      <c r="S11" s="636"/>
      <c r="T11" s="636"/>
      <c r="U11" s="638"/>
    </row>
    <row r="12" spans="1:21" ht="15" customHeight="1" thickBot="1">
      <c r="A12" s="1794"/>
      <c r="B12" s="1797"/>
      <c r="C12" s="1800"/>
      <c r="D12" s="640" t="s">
        <v>3269</v>
      </c>
      <c r="E12" s="641" t="s">
        <v>3270</v>
      </c>
      <c r="F12" s="642" t="s">
        <v>3271</v>
      </c>
      <c r="G12" s="643"/>
      <c r="H12" s="644" t="s">
        <v>3240</v>
      </c>
      <c r="I12" s="644"/>
      <c r="J12" s="644"/>
      <c r="K12" s="645"/>
      <c r="L12" s="644" t="s">
        <v>3239</v>
      </c>
      <c r="M12" s="644"/>
      <c r="N12" s="644"/>
      <c r="O12" s="644"/>
      <c r="P12" s="644"/>
      <c r="Q12" s="644"/>
      <c r="R12" s="644"/>
      <c r="S12" s="644"/>
      <c r="T12" s="644"/>
      <c r="U12" s="646"/>
    </row>
    <row r="13" spans="1:21" ht="15" customHeight="1">
      <c r="A13" s="1792" t="s">
        <v>376</v>
      </c>
      <c r="B13" s="1795" t="s">
        <v>376</v>
      </c>
      <c r="C13" s="1798" t="s">
        <v>3272</v>
      </c>
      <c r="D13" s="625" t="s">
        <v>3273</v>
      </c>
      <c r="E13" s="626" t="s">
        <v>3274</v>
      </c>
      <c r="F13" s="627" t="s">
        <v>3275</v>
      </c>
      <c r="G13" s="647"/>
      <c r="H13" s="629" t="s">
        <v>3276</v>
      </c>
      <c r="I13" s="629"/>
      <c r="J13" s="629"/>
      <c r="K13" s="629"/>
      <c r="L13" s="629"/>
      <c r="M13" s="629"/>
      <c r="N13" s="629"/>
      <c r="O13" s="629"/>
      <c r="P13" s="629"/>
      <c r="Q13" s="629"/>
      <c r="R13" s="629"/>
      <c r="S13" s="629"/>
      <c r="T13" s="629"/>
      <c r="U13" s="631"/>
    </row>
    <row r="14" spans="1:21" ht="15" customHeight="1">
      <c r="A14" s="1793"/>
      <c r="B14" s="1796"/>
      <c r="C14" s="1799"/>
      <c r="D14" s="632" t="s">
        <v>3277</v>
      </c>
      <c r="E14" s="633" t="s">
        <v>3278</v>
      </c>
      <c r="F14" s="634" t="s">
        <v>3279</v>
      </c>
      <c r="G14" s="639"/>
      <c r="H14" s="636" t="s">
        <v>3260</v>
      </c>
      <c r="I14" s="636"/>
      <c r="J14" s="636"/>
      <c r="K14" s="636"/>
      <c r="L14" s="636"/>
      <c r="M14" s="636"/>
      <c r="N14" s="636"/>
      <c r="O14" s="636"/>
      <c r="P14" s="636"/>
      <c r="Q14" s="636"/>
      <c r="R14" s="636"/>
      <c r="S14" s="636"/>
      <c r="T14" s="636"/>
      <c r="U14" s="638"/>
    </row>
    <row r="15" spans="1:21" ht="15" customHeight="1">
      <c r="A15" s="1793" t="s">
        <v>376</v>
      </c>
      <c r="B15" s="1796" t="s">
        <v>376</v>
      </c>
      <c r="C15" s="1799"/>
      <c r="D15" s="632" t="s">
        <v>3280</v>
      </c>
      <c r="E15" s="633" t="s">
        <v>3281</v>
      </c>
      <c r="F15" s="634" t="s">
        <v>3282</v>
      </c>
      <c r="G15" s="639"/>
      <c r="H15" s="636" t="s">
        <v>3276</v>
      </c>
      <c r="I15" s="636"/>
      <c r="J15" s="636"/>
      <c r="K15" s="636"/>
      <c r="L15" s="636"/>
      <c r="M15" s="636"/>
      <c r="N15" s="636"/>
      <c r="O15" s="636"/>
      <c r="P15" s="636"/>
      <c r="Q15" s="636"/>
      <c r="R15" s="636"/>
      <c r="S15" s="636"/>
      <c r="T15" s="636"/>
      <c r="U15" s="638"/>
    </row>
    <row r="16" spans="1:21" ht="15" customHeight="1">
      <c r="A16" s="1793"/>
      <c r="B16" s="1796"/>
      <c r="C16" s="1799"/>
      <c r="D16" s="632" t="s">
        <v>3283</v>
      </c>
      <c r="E16" s="633" t="s">
        <v>3284</v>
      </c>
      <c r="F16" s="634" t="s">
        <v>3285</v>
      </c>
      <c r="G16" s="639"/>
      <c r="H16" s="636" t="s">
        <v>3286</v>
      </c>
      <c r="I16" s="636"/>
      <c r="J16" s="636"/>
      <c r="K16" s="636"/>
      <c r="L16" s="636"/>
      <c r="M16" s="636"/>
      <c r="N16" s="636"/>
      <c r="O16" s="636"/>
      <c r="P16" s="636"/>
      <c r="Q16" s="636"/>
      <c r="R16" s="636"/>
      <c r="S16" s="636"/>
      <c r="T16" s="636"/>
      <c r="U16" s="638"/>
    </row>
    <row r="17" spans="1:21" ht="15" customHeight="1">
      <c r="A17" s="1793" t="s">
        <v>376</v>
      </c>
      <c r="B17" s="1796" t="s">
        <v>376</v>
      </c>
      <c r="C17" s="1799"/>
      <c r="D17" s="632" t="s">
        <v>3287</v>
      </c>
      <c r="E17" s="633" t="s">
        <v>3288</v>
      </c>
      <c r="F17" s="634" t="s">
        <v>3289</v>
      </c>
      <c r="G17" s="635"/>
      <c r="H17" s="636" t="s">
        <v>3290</v>
      </c>
      <c r="I17" s="636"/>
      <c r="J17" s="636"/>
      <c r="K17" s="636"/>
      <c r="L17" s="636"/>
      <c r="M17" s="636"/>
      <c r="N17" s="636"/>
      <c r="O17" s="636"/>
      <c r="P17" s="636"/>
      <c r="Q17" s="636"/>
      <c r="R17" s="636"/>
      <c r="S17" s="636"/>
      <c r="T17" s="636"/>
      <c r="U17" s="638"/>
    </row>
    <row r="18" spans="1:21" ht="15" customHeight="1">
      <c r="A18" s="1793"/>
      <c r="B18" s="1796"/>
      <c r="C18" s="1799"/>
      <c r="D18" s="632" t="s">
        <v>3291</v>
      </c>
      <c r="E18" s="633" t="s">
        <v>3292</v>
      </c>
      <c r="F18" s="634" t="s">
        <v>3293</v>
      </c>
      <c r="G18" s="639"/>
      <c r="H18" s="636" t="s">
        <v>3294</v>
      </c>
      <c r="I18" s="636"/>
      <c r="J18" s="636"/>
      <c r="K18" s="636"/>
      <c r="L18" s="636"/>
      <c r="M18" s="636"/>
      <c r="N18" s="636"/>
      <c r="O18" s="636"/>
      <c r="P18" s="636"/>
      <c r="Q18" s="636"/>
      <c r="R18" s="636"/>
      <c r="S18" s="636"/>
      <c r="T18" s="636"/>
      <c r="U18" s="638"/>
    </row>
    <row r="19" spans="1:21" ht="15" customHeight="1">
      <c r="A19" s="1793"/>
      <c r="B19" s="1796"/>
      <c r="C19" s="1799"/>
      <c r="D19" s="632" t="s">
        <v>3295</v>
      </c>
      <c r="E19" s="633" t="s">
        <v>3296</v>
      </c>
      <c r="F19" s="634" t="s">
        <v>3297</v>
      </c>
      <c r="G19" s="635"/>
      <c r="H19" s="636" t="s">
        <v>3298</v>
      </c>
      <c r="I19" s="636"/>
      <c r="J19" s="636"/>
      <c r="K19" s="637"/>
      <c r="L19" s="636" t="s">
        <v>3082</v>
      </c>
      <c r="M19" s="636"/>
      <c r="N19" s="1801"/>
      <c r="O19" s="1801"/>
      <c r="P19" s="1801"/>
      <c r="Q19" s="1801"/>
      <c r="R19" s="636" t="s">
        <v>6</v>
      </c>
      <c r="S19" s="636"/>
      <c r="T19" s="636"/>
      <c r="U19" s="638"/>
    </row>
    <row r="20" spans="1:21" ht="15" customHeight="1">
      <c r="A20" s="1793"/>
      <c r="B20" s="1796"/>
      <c r="C20" s="1799"/>
      <c r="D20" s="632" t="s">
        <v>3299</v>
      </c>
      <c r="E20" s="633" t="s">
        <v>3300</v>
      </c>
      <c r="F20" s="634" t="s">
        <v>3301</v>
      </c>
      <c r="G20" s="635"/>
      <c r="H20" s="636" t="s">
        <v>3290</v>
      </c>
      <c r="I20" s="636"/>
      <c r="J20" s="636"/>
      <c r="K20" s="637"/>
      <c r="L20" s="636" t="s">
        <v>3302</v>
      </c>
      <c r="M20" s="636"/>
      <c r="N20" s="636"/>
      <c r="O20" s="636"/>
      <c r="P20" s="636"/>
      <c r="Q20" s="636"/>
      <c r="R20" s="636"/>
      <c r="S20" s="636"/>
      <c r="T20" s="636"/>
      <c r="U20" s="638"/>
    </row>
    <row r="21" spans="1:21" ht="15" customHeight="1">
      <c r="A21" s="1793" t="s">
        <v>376</v>
      </c>
      <c r="B21" s="1796" t="s">
        <v>376</v>
      </c>
      <c r="C21" s="1799"/>
      <c r="D21" s="632" t="s">
        <v>3303</v>
      </c>
      <c r="E21" s="633" t="s">
        <v>3304</v>
      </c>
      <c r="F21" s="634" t="s">
        <v>3305</v>
      </c>
      <c r="G21" s="639"/>
      <c r="H21" s="636" t="s">
        <v>3306</v>
      </c>
      <c r="I21" s="636"/>
      <c r="J21" s="636"/>
      <c r="K21" s="636"/>
      <c r="L21" s="636"/>
      <c r="M21" s="636"/>
      <c r="N21" s="636"/>
      <c r="O21" s="636"/>
      <c r="P21" s="636"/>
      <c r="Q21" s="636"/>
      <c r="R21" s="636"/>
      <c r="S21" s="636"/>
      <c r="T21" s="636"/>
      <c r="U21" s="638"/>
    </row>
    <row r="22" spans="1:21" ht="15" customHeight="1">
      <c r="A22" s="1793"/>
      <c r="B22" s="1796"/>
      <c r="C22" s="1799"/>
      <c r="D22" s="632" t="s">
        <v>3307</v>
      </c>
      <c r="E22" s="633" t="s">
        <v>3308</v>
      </c>
      <c r="F22" s="634" t="s">
        <v>3309</v>
      </c>
      <c r="G22" s="635"/>
      <c r="H22" s="636" t="s">
        <v>3310</v>
      </c>
      <c r="I22" s="636"/>
      <c r="J22" s="636"/>
      <c r="K22" s="637"/>
      <c r="L22" s="636" t="s">
        <v>3311</v>
      </c>
      <c r="M22" s="636"/>
      <c r="N22" s="636"/>
      <c r="O22" s="636"/>
      <c r="P22" s="637"/>
      <c r="Q22" s="636" t="s">
        <v>3312</v>
      </c>
      <c r="R22" s="636"/>
      <c r="S22" s="636"/>
      <c r="T22" s="636"/>
      <c r="U22" s="638"/>
    </row>
    <row r="23" spans="1:21" ht="15" customHeight="1" thickBot="1">
      <c r="A23" s="648" t="s">
        <v>376</v>
      </c>
      <c r="B23" s="649" t="s">
        <v>376</v>
      </c>
      <c r="C23" s="1800"/>
      <c r="D23" s="640" t="s">
        <v>3313</v>
      </c>
      <c r="E23" s="641" t="s">
        <v>3314</v>
      </c>
      <c r="F23" s="642" t="s">
        <v>3315</v>
      </c>
      <c r="G23" s="650"/>
      <c r="H23" s="644" t="s">
        <v>3316</v>
      </c>
      <c r="I23" s="644"/>
      <c r="J23" s="644"/>
      <c r="K23" s="644"/>
      <c r="L23" s="644"/>
      <c r="M23" s="644"/>
      <c r="N23" s="644"/>
      <c r="O23" s="644"/>
      <c r="P23" s="644"/>
      <c r="Q23" s="644"/>
      <c r="R23" s="644"/>
      <c r="S23" s="644"/>
      <c r="T23" s="644"/>
      <c r="U23" s="646"/>
    </row>
    <row r="36" spans="6:23" ht="15" customHeight="1">
      <c r="F36" s="651" t="s">
        <v>3317</v>
      </c>
      <c r="G36" s="1811" t="str">
        <f>cst_wskakunin_sekkei1_SIKAKU</f>
        <v/>
      </c>
      <c r="H36" s="1811"/>
      <c r="I36" s="652" t="s">
        <v>552</v>
      </c>
      <c r="J36" s="653"/>
      <c r="K36" s="1811" t="str">
        <f>cst_wskakunin_sekkei1_TOUROKU_KIKAN</f>
        <v/>
      </c>
      <c r="L36" s="1811"/>
      <c r="M36" s="1811"/>
      <c r="N36" s="1811"/>
      <c r="O36" s="652" t="s">
        <v>558</v>
      </c>
      <c r="P36" s="653"/>
      <c r="Q36" s="1812" t="str">
        <f>cst_wskakunin_sekkei1_KENTIKUSI_NO</f>
        <v/>
      </c>
      <c r="R36" s="1812"/>
      <c r="S36" s="1812"/>
      <c r="T36" s="1812"/>
      <c r="U36" s="1812"/>
      <c r="V36" s="1812"/>
      <c r="W36" s="652" t="s">
        <v>375</v>
      </c>
    </row>
    <row r="37" spans="6:23" ht="15" customHeight="1">
      <c r="F37" s="651" t="s">
        <v>3318</v>
      </c>
      <c r="G37" s="1810" t="str">
        <f>cst_wskakunin_sekkei1_NAME</f>
        <v/>
      </c>
      <c r="H37" s="1810"/>
      <c r="I37" s="1810"/>
      <c r="J37" s="1810"/>
      <c r="K37" s="1810"/>
      <c r="L37" s="1810"/>
      <c r="M37" s="1810"/>
      <c r="N37" s="1810"/>
      <c r="O37" s="1810"/>
      <c r="P37" s="654" t="s">
        <v>372</v>
      </c>
      <c r="Q37" s="654"/>
      <c r="R37" s="654"/>
      <c r="S37" s="654"/>
      <c r="T37" s="654"/>
      <c r="U37" s="654"/>
      <c r="V37" s="654"/>
      <c r="W37" s="654"/>
    </row>
  </sheetData>
  <mergeCells count="24">
    <mergeCell ref="G37:O37"/>
    <mergeCell ref="N19:Q19"/>
    <mergeCell ref="A21:A22"/>
    <mergeCell ref="B21:B22"/>
    <mergeCell ref="G36:H36"/>
    <mergeCell ref="K36:N36"/>
    <mergeCell ref="Q36:V36"/>
    <mergeCell ref="A13:A14"/>
    <mergeCell ref="B13:B14"/>
    <mergeCell ref="C13:C23"/>
    <mergeCell ref="A15:A16"/>
    <mergeCell ref="B15:B16"/>
    <mergeCell ref="A17:A20"/>
    <mergeCell ref="B17:B20"/>
    <mergeCell ref="A1:U1"/>
    <mergeCell ref="A3:B3"/>
    <mergeCell ref="C3:E4"/>
    <mergeCell ref="F3:F4"/>
    <mergeCell ref="G3:U4"/>
    <mergeCell ref="A5:A12"/>
    <mergeCell ref="B5:B12"/>
    <mergeCell ref="C5:C12"/>
    <mergeCell ref="P6:S6"/>
    <mergeCell ref="N11:Q11"/>
  </mergeCells>
  <phoneticPr fontId="139"/>
  <dataValidations count="2">
    <dataValidation type="list" allowBlank="1" showInputMessage="1" showErrorMessage="1" sqref="A5:B5 A13:B13 A15:B15 A17:B17 A21:B21 A23:B23" xr:uid="{00000000-0002-0000-1900-000000000000}">
      <formula1>"　,〇,－"</formula1>
    </dataValidation>
    <dataValidation allowBlank="1" showInputMessage="1" showErrorMessage="1" sqref="Q36:V36" xr:uid="{00000000-0002-0000-1900-000001000000}"/>
  </dataValidations>
  <pageMargins left="0.70866141732283472" right="0.70866141732283472" top="0.74803149606299213" bottom="0.74803149606299213" header="0.31496062992125984" footer="0.31496062992125984"/>
  <pageSetup paperSize="9" scale="85"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ltText="">
                <anchor moveWithCells="1">
                  <from>
                    <xdr:col>6</xdr:col>
                    <xdr:colOff>9525</xdr:colOff>
                    <xdr:row>5</xdr:row>
                    <xdr:rowOff>180975</xdr:rowOff>
                  </from>
                  <to>
                    <xdr:col>7</xdr:col>
                    <xdr:colOff>38100</xdr:colOff>
                    <xdr:row>7</xdr:row>
                    <xdr:rowOff>9525</xdr:rowOff>
                  </to>
                </anchor>
              </controlPr>
            </control>
          </mc:Choice>
        </mc:AlternateContent>
        <mc:AlternateContent xmlns:mc="http://schemas.openxmlformats.org/markup-compatibility/2006">
          <mc:Choice Requires="x14">
            <control shapeId="46082" r:id="rId5" name="Check Box 2">
              <controlPr defaultSize="0" autoFill="0" autoLine="0" autoPict="0" altText="">
                <anchor moveWithCells="1">
                  <from>
                    <xdr:col>6</xdr:col>
                    <xdr:colOff>9525</xdr:colOff>
                    <xdr:row>8</xdr:row>
                    <xdr:rowOff>180975</xdr:rowOff>
                  </from>
                  <to>
                    <xdr:col>7</xdr:col>
                    <xdr:colOff>38100</xdr:colOff>
                    <xdr:row>10</xdr:row>
                    <xdr:rowOff>9525</xdr:rowOff>
                  </to>
                </anchor>
              </controlPr>
            </control>
          </mc:Choice>
        </mc:AlternateContent>
        <mc:AlternateContent xmlns:mc="http://schemas.openxmlformats.org/markup-compatibility/2006">
          <mc:Choice Requires="x14">
            <control shapeId="46083" r:id="rId6" name="Check Box 3">
              <controlPr defaultSize="0" autoFill="0" autoLine="0" autoPict="0" altText="">
                <anchor moveWithCells="1">
                  <from>
                    <xdr:col>6</xdr:col>
                    <xdr:colOff>9525</xdr:colOff>
                    <xdr:row>10</xdr:row>
                    <xdr:rowOff>180975</xdr:rowOff>
                  </from>
                  <to>
                    <xdr:col>7</xdr:col>
                    <xdr:colOff>38100</xdr:colOff>
                    <xdr:row>12</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ltText="">
                <anchor moveWithCells="1">
                  <from>
                    <xdr:col>6</xdr:col>
                    <xdr:colOff>9525</xdr:colOff>
                    <xdr:row>18</xdr:row>
                    <xdr:rowOff>180975</xdr:rowOff>
                  </from>
                  <to>
                    <xdr:col>7</xdr:col>
                    <xdr:colOff>38100</xdr:colOff>
                    <xdr:row>20</xdr:row>
                    <xdr:rowOff>9525</xdr:rowOff>
                  </to>
                </anchor>
              </controlPr>
            </control>
          </mc:Choice>
        </mc:AlternateContent>
        <mc:AlternateContent xmlns:mc="http://schemas.openxmlformats.org/markup-compatibility/2006">
          <mc:Choice Requires="x14">
            <control shapeId="46085" r:id="rId8" name="Check Box 5">
              <controlPr defaultSize="0" autoFill="0" autoLine="0" autoPict="0" altText="">
                <anchor moveWithCells="1">
                  <from>
                    <xdr:col>6</xdr:col>
                    <xdr:colOff>9525</xdr:colOff>
                    <xdr:row>20</xdr:row>
                    <xdr:rowOff>180975</xdr:rowOff>
                  </from>
                  <to>
                    <xdr:col>7</xdr:col>
                    <xdr:colOff>38100</xdr:colOff>
                    <xdr:row>22</xdr:row>
                    <xdr:rowOff>9525</xdr:rowOff>
                  </to>
                </anchor>
              </controlPr>
            </control>
          </mc:Choice>
        </mc:AlternateContent>
        <mc:AlternateContent xmlns:mc="http://schemas.openxmlformats.org/markup-compatibility/2006">
          <mc:Choice Requires="x14">
            <control shapeId="46086" r:id="rId9" name="Check Box 6">
              <controlPr defaultSize="0" autoFill="0" autoLine="0" autoPict="0" altText="">
                <anchor moveWithCells="1">
                  <from>
                    <xdr:col>6</xdr:col>
                    <xdr:colOff>9525</xdr:colOff>
                    <xdr:row>17</xdr:row>
                    <xdr:rowOff>180975</xdr:rowOff>
                  </from>
                  <to>
                    <xdr:col>7</xdr:col>
                    <xdr:colOff>38100</xdr:colOff>
                    <xdr:row>19</xdr:row>
                    <xdr:rowOff>9525</xdr:rowOff>
                  </to>
                </anchor>
              </controlPr>
            </control>
          </mc:Choice>
        </mc:AlternateContent>
        <mc:AlternateContent xmlns:mc="http://schemas.openxmlformats.org/markup-compatibility/2006">
          <mc:Choice Requires="x14">
            <control shapeId="46087" r:id="rId10" name="Check Box 7">
              <controlPr defaultSize="0" autoFill="0" autoLine="0" autoPict="0" altText="">
                <anchor moveWithCells="1">
                  <from>
                    <xdr:col>6</xdr:col>
                    <xdr:colOff>9525</xdr:colOff>
                    <xdr:row>15</xdr:row>
                    <xdr:rowOff>180975</xdr:rowOff>
                  </from>
                  <to>
                    <xdr:col>7</xdr:col>
                    <xdr:colOff>38100</xdr:colOff>
                    <xdr:row>17</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ltText="">
                <anchor moveWithCells="1">
                  <from>
                    <xdr:col>6</xdr:col>
                    <xdr:colOff>9525</xdr:colOff>
                    <xdr:row>9</xdr:row>
                    <xdr:rowOff>180975</xdr:rowOff>
                  </from>
                  <to>
                    <xdr:col>7</xdr:col>
                    <xdr:colOff>38100</xdr:colOff>
                    <xdr:row>11</xdr:row>
                    <xdr:rowOff>9525</xdr:rowOff>
                  </to>
                </anchor>
              </controlPr>
            </control>
          </mc:Choice>
        </mc:AlternateContent>
        <mc:AlternateContent xmlns:mc="http://schemas.openxmlformats.org/markup-compatibility/2006">
          <mc:Choice Requires="x14">
            <control shapeId="46089" r:id="rId12" name="Check Box 9">
              <controlPr defaultSize="0" autoFill="0" autoLine="0" autoPict="0" altText="">
                <anchor moveWithCells="1">
                  <from>
                    <xdr:col>6</xdr:col>
                    <xdr:colOff>9525</xdr:colOff>
                    <xdr:row>6</xdr:row>
                    <xdr:rowOff>180975</xdr:rowOff>
                  </from>
                  <to>
                    <xdr:col>7</xdr:col>
                    <xdr:colOff>38100</xdr:colOff>
                    <xdr:row>8</xdr:row>
                    <xdr:rowOff>9525</xdr:rowOff>
                  </to>
                </anchor>
              </controlPr>
            </control>
          </mc:Choice>
        </mc:AlternateContent>
        <mc:AlternateContent xmlns:mc="http://schemas.openxmlformats.org/markup-compatibility/2006">
          <mc:Choice Requires="x14">
            <control shapeId="46090" r:id="rId13" name="Check Box 10">
              <controlPr defaultSize="0" autoFill="0" autoLine="0" autoPict="0" altText="">
                <anchor moveWithCells="1">
                  <from>
                    <xdr:col>6</xdr:col>
                    <xdr:colOff>9525</xdr:colOff>
                    <xdr:row>4</xdr:row>
                    <xdr:rowOff>180975</xdr:rowOff>
                  </from>
                  <to>
                    <xdr:col>7</xdr:col>
                    <xdr:colOff>38100</xdr:colOff>
                    <xdr:row>6</xdr:row>
                    <xdr:rowOff>9525</xdr:rowOff>
                  </to>
                </anchor>
              </controlPr>
            </control>
          </mc:Choice>
        </mc:AlternateContent>
        <mc:AlternateContent xmlns:mc="http://schemas.openxmlformats.org/markup-compatibility/2006">
          <mc:Choice Requires="x14">
            <control shapeId="46091" r:id="rId14" name="Check Box 11">
              <controlPr defaultSize="0" autoFill="0" autoLine="0" autoPict="0" altText="">
                <anchor moveWithCells="1">
                  <from>
                    <xdr:col>9</xdr:col>
                    <xdr:colOff>9525</xdr:colOff>
                    <xdr:row>5</xdr:row>
                    <xdr:rowOff>180975</xdr:rowOff>
                  </from>
                  <to>
                    <xdr:col>10</xdr:col>
                    <xdr:colOff>38100</xdr:colOff>
                    <xdr:row>7</xdr:row>
                    <xdr:rowOff>9525</xdr:rowOff>
                  </to>
                </anchor>
              </controlPr>
            </control>
          </mc:Choice>
        </mc:AlternateContent>
        <mc:AlternateContent xmlns:mc="http://schemas.openxmlformats.org/markup-compatibility/2006">
          <mc:Choice Requires="x14">
            <control shapeId="46092" r:id="rId15" name="Check Box 12">
              <controlPr defaultSize="0" autoFill="0" autoLine="0" autoPict="0" altText="">
                <anchor moveWithCells="1">
                  <from>
                    <xdr:col>9</xdr:col>
                    <xdr:colOff>9525</xdr:colOff>
                    <xdr:row>4</xdr:row>
                    <xdr:rowOff>180975</xdr:rowOff>
                  </from>
                  <to>
                    <xdr:col>10</xdr:col>
                    <xdr:colOff>38100</xdr:colOff>
                    <xdr:row>6</xdr:row>
                    <xdr:rowOff>9525</xdr:rowOff>
                  </to>
                </anchor>
              </controlPr>
            </control>
          </mc:Choice>
        </mc:AlternateContent>
        <mc:AlternateContent xmlns:mc="http://schemas.openxmlformats.org/markup-compatibility/2006">
          <mc:Choice Requires="x14">
            <control shapeId="46093" r:id="rId16" name="Check Box 13">
              <controlPr defaultSize="0" autoFill="0" autoLine="0" autoPict="0" altText="">
                <anchor moveWithCells="1">
                  <from>
                    <xdr:col>9</xdr:col>
                    <xdr:colOff>9525</xdr:colOff>
                    <xdr:row>6</xdr:row>
                    <xdr:rowOff>180975</xdr:rowOff>
                  </from>
                  <to>
                    <xdr:col>10</xdr:col>
                    <xdr:colOff>38100</xdr:colOff>
                    <xdr:row>8</xdr:row>
                    <xdr:rowOff>9525</xdr:rowOff>
                  </to>
                </anchor>
              </controlPr>
            </control>
          </mc:Choice>
        </mc:AlternateContent>
        <mc:AlternateContent xmlns:mc="http://schemas.openxmlformats.org/markup-compatibility/2006">
          <mc:Choice Requires="x14">
            <control shapeId="46094" r:id="rId17" name="Check Box 14">
              <controlPr defaultSize="0" autoFill="0" autoLine="0" autoPict="0" altText="">
                <anchor moveWithCells="1">
                  <from>
                    <xdr:col>10</xdr:col>
                    <xdr:colOff>9525</xdr:colOff>
                    <xdr:row>9</xdr:row>
                    <xdr:rowOff>180975</xdr:rowOff>
                  </from>
                  <to>
                    <xdr:col>11</xdr:col>
                    <xdr:colOff>38100</xdr:colOff>
                    <xdr:row>11</xdr:row>
                    <xdr:rowOff>9525</xdr:rowOff>
                  </to>
                </anchor>
              </controlPr>
            </control>
          </mc:Choice>
        </mc:AlternateContent>
        <mc:AlternateContent xmlns:mc="http://schemas.openxmlformats.org/markup-compatibility/2006">
          <mc:Choice Requires="x14">
            <control shapeId="46095" r:id="rId18" name="Check Box 15">
              <controlPr defaultSize="0" autoFill="0" autoLine="0" autoPict="0" altText="">
                <anchor moveWithCells="1">
                  <from>
                    <xdr:col>10</xdr:col>
                    <xdr:colOff>9525</xdr:colOff>
                    <xdr:row>10</xdr:row>
                    <xdr:rowOff>180975</xdr:rowOff>
                  </from>
                  <to>
                    <xdr:col>11</xdr:col>
                    <xdr:colOff>38100</xdr:colOff>
                    <xdr:row>12</xdr:row>
                    <xdr:rowOff>9525</xdr:rowOff>
                  </to>
                </anchor>
              </controlPr>
            </control>
          </mc:Choice>
        </mc:AlternateContent>
        <mc:AlternateContent xmlns:mc="http://schemas.openxmlformats.org/markup-compatibility/2006">
          <mc:Choice Requires="x14">
            <control shapeId="46096" r:id="rId19" name="Check Box 16">
              <controlPr defaultSize="0" autoFill="0" autoLine="0" autoPict="0" altText="">
                <anchor moveWithCells="1">
                  <from>
                    <xdr:col>10</xdr:col>
                    <xdr:colOff>9525</xdr:colOff>
                    <xdr:row>18</xdr:row>
                    <xdr:rowOff>180975</xdr:rowOff>
                  </from>
                  <to>
                    <xdr:col>11</xdr:col>
                    <xdr:colOff>38100</xdr:colOff>
                    <xdr:row>20</xdr:row>
                    <xdr:rowOff>9525</xdr:rowOff>
                  </to>
                </anchor>
              </controlPr>
            </control>
          </mc:Choice>
        </mc:AlternateContent>
        <mc:AlternateContent xmlns:mc="http://schemas.openxmlformats.org/markup-compatibility/2006">
          <mc:Choice Requires="x14">
            <control shapeId="46097" r:id="rId20" name="Check Box 17">
              <controlPr defaultSize="0" autoFill="0" autoLine="0" autoPict="0" altText="">
                <anchor moveWithCells="1">
                  <from>
                    <xdr:col>10</xdr:col>
                    <xdr:colOff>9525</xdr:colOff>
                    <xdr:row>20</xdr:row>
                    <xdr:rowOff>180975</xdr:rowOff>
                  </from>
                  <to>
                    <xdr:col>11</xdr:col>
                    <xdr:colOff>38100</xdr:colOff>
                    <xdr:row>22</xdr:row>
                    <xdr:rowOff>9525</xdr:rowOff>
                  </to>
                </anchor>
              </controlPr>
            </control>
          </mc:Choice>
        </mc:AlternateContent>
        <mc:AlternateContent xmlns:mc="http://schemas.openxmlformats.org/markup-compatibility/2006">
          <mc:Choice Requires="x14">
            <control shapeId="46098" r:id="rId21" name="Check Box 18">
              <controlPr defaultSize="0" autoFill="0" autoLine="0" autoPict="0" altText="">
                <anchor moveWithCells="1">
                  <from>
                    <xdr:col>15</xdr:col>
                    <xdr:colOff>9525</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46099" r:id="rId22" name="Check Box 19">
              <controlPr defaultSize="0" autoFill="0" autoLine="0" autoPict="0" altText="">
                <anchor moveWithCells="1">
                  <from>
                    <xdr:col>16</xdr:col>
                    <xdr:colOff>9525</xdr:colOff>
                    <xdr:row>6</xdr:row>
                    <xdr:rowOff>180975</xdr:rowOff>
                  </from>
                  <to>
                    <xdr:col>17</xdr:col>
                    <xdr:colOff>38100</xdr:colOff>
                    <xdr:row>8</xdr:row>
                    <xdr:rowOff>9525</xdr:rowOff>
                  </to>
                </anchor>
              </controlPr>
            </control>
          </mc:Choice>
        </mc:AlternateContent>
        <mc:AlternateContent xmlns:mc="http://schemas.openxmlformats.org/markup-compatibility/2006">
          <mc:Choice Requires="x14">
            <control shapeId="46100" r:id="rId23" name="Check Box 20">
              <controlPr defaultSize="0" autoFill="0" autoLine="0" autoPict="0" altText="">
                <anchor moveWithCells="1">
                  <from>
                    <xdr:col>12</xdr:col>
                    <xdr:colOff>0</xdr:colOff>
                    <xdr:row>5</xdr:row>
                    <xdr:rowOff>180975</xdr:rowOff>
                  </from>
                  <to>
                    <xdr:col>13</xdr:col>
                    <xdr:colOff>28575</xdr:colOff>
                    <xdr:row>7</xdr:row>
                    <xdr:rowOff>9525</xdr:rowOff>
                  </to>
                </anchor>
              </controlPr>
            </control>
          </mc:Choice>
        </mc:AlternateContent>
        <mc:AlternateContent xmlns:mc="http://schemas.openxmlformats.org/markup-compatibility/2006">
          <mc:Choice Requires="x14">
            <control shapeId="46101" r:id="rId24" name="Check Box 21">
              <controlPr defaultSize="0" autoFill="0" autoLine="0" autoPict="0" altText="">
                <anchor moveWithCells="1">
                  <from>
                    <xdr:col>12</xdr:col>
                    <xdr:colOff>9525</xdr:colOff>
                    <xdr:row>6</xdr:row>
                    <xdr:rowOff>180975</xdr:rowOff>
                  </from>
                  <to>
                    <xdr:col>13</xdr:col>
                    <xdr:colOff>38100</xdr:colOff>
                    <xdr:row>8</xdr:row>
                    <xdr:rowOff>9525</xdr:rowOff>
                  </to>
                </anchor>
              </controlPr>
            </control>
          </mc:Choice>
        </mc:AlternateContent>
        <mc:AlternateContent xmlns:mc="http://schemas.openxmlformats.org/markup-compatibility/2006">
          <mc:Choice Requires="x14">
            <control shapeId="46102" r:id="rId25" name="Check Box 22">
              <controlPr defaultSize="0" autoFill="0" autoLine="0" autoPict="0" altText="">
                <anchor moveWithCells="1">
                  <from>
                    <xdr:col>12</xdr:col>
                    <xdr:colOff>9525</xdr:colOff>
                    <xdr:row>4</xdr:row>
                    <xdr:rowOff>180975</xdr:rowOff>
                  </from>
                  <to>
                    <xdr:col>13</xdr:col>
                    <xdr:colOff>38100</xdr:colOff>
                    <xdr:row>6</xdr:row>
                    <xdr:rowOff>9525</xdr:rowOff>
                  </to>
                </anchor>
              </controlPr>
            </control>
          </mc:Choice>
        </mc:AlternateContent>
        <mc:AlternateContent xmlns:mc="http://schemas.openxmlformats.org/markup-compatibility/2006">
          <mc:Choice Requires="x14">
            <control shapeId="46103" r:id="rId26" name="Check Box 23">
              <controlPr defaultSize="0" autoFill="0" autoLine="0" autoPict="0" altText="">
                <anchor moveWithCells="1">
                  <from>
                    <xdr:col>16</xdr:col>
                    <xdr:colOff>9525</xdr:colOff>
                    <xdr:row>5</xdr:row>
                    <xdr:rowOff>180975</xdr:rowOff>
                  </from>
                  <to>
                    <xdr:col>17</xdr:col>
                    <xdr:colOff>38100</xdr:colOff>
                    <xdr:row>7</xdr:row>
                    <xdr:rowOff>9525</xdr:rowOff>
                  </to>
                </anchor>
              </controlPr>
            </control>
          </mc:Choice>
        </mc:AlternateContent>
        <mc:AlternateContent xmlns:mc="http://schemas.openxmlformats.org/markup-compatibility/2006">
          <mc:Choice Requires="x14">
            <control shapeId="46104" r:id="rId27" name="Check Box 24">
              <controlPr defaultSize="0" autoFill="0" autoLine="0" autoPict="0" altText="">
                <anchor moveWithCells="1">
                  <from>
                    <xdr:col>10</xdr:col>
                    <xdr:colOff>9525</xdr:colOff>
                    <xdr:row>17</xdr:row>
                    <xdr:rowOff>180975</xdr:rowOff>
                  </from>
                  <to>
                    <xdr:col>11</xdr:col>
                    <xdr:colOff>38100</xdr:colOff>
                    <xdr:row>19</xdr:row>
                    <xdr:rowOff>9525</xdr:rowOff>
                  </to>
                </anchor>
              </controlPr>
            </control>
          </mc:Choice>
        </mc:AlternateContent>
        <mc:AlternateContent xmlns:mc="http://schemas.openxmlformats.org/markup-compatibility/2006">
          <mc:Choice Requires="x14">
            <control shapeId="46105" r:id="rId28" name="Check Box 25">
              <controlPr defaultSize="0" autoFill="0" autoLine="0" autoPict="0" altText="">
                <anchor moveWithCells="1">
                  <from>
                    <xdr:col>6</xdr:col>
                    <xdr:colOff>9525</xdr:colOff>
                    <xdr:row>4</xdr:row>
                    <xdr:rowOff>0</xdr:rowOff>
                  </from>
                  <to>
                    <xdr:col>7</xdr:col>
                    <xdr:colOff>38100</xdr:colOff>
                    <xdr:row>5</xdr:row>
                    <xdr:rowOff>19050</xdr:rowOff>
                  </to>
                </anchor>
              </controlPr>
            </control>
          </mc:Choice>
        </mc:AlternateContent>
        <mc:AlternateContent xmlns:mc="http://schemas.openxmlformats.org/markup-compatibility/2006">
          <mc:Choice Requires="x14">
            <control shapeId="46106" r:id="rId29" name="Check Box 26">
              <controlPr defaultSize="0" autoFill="0" autoLine="0" autoPict="0" altText="">
                <anchor moveWithCells="1">
                  <from>
                    <xdr:col>12</xdr:col>
                    <xdr:colOff>9525</xdr:colOff>
                    <xdr:row>3</xdr:row>
                    <xdr:rowOff>285750</xdr:rowOff>
                  </from>
                  <to>
                    <xdr:col>13</xdr:col>
                    <xdr:colOff>38100</xdr:colOff>
                    <xdr:row>5</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5117038483843"/>
    <pageSetUpPr fitToPage="1"/>
  </sheetPr>
  <dimension ref="A1:R53"/>
  <sheetViews>
    <sheetView zoomScaleNormal="100" workbookViewId="0"/>
  </sheetViews>
  <sheetFormatPr defaultColWidth="9" defaultRowHeight="18" customHeight="1"/>
  <cols>
    <col min="1" max="1" width="10.625" style="656" customWidth="1"/>
    <col min="2" max="14" width="5.375" style="656" customWidth="1"/>
    <col min="15" max="16" width="5.75" style="659" customWidth="1"/>
    <col min="17" max="256" width="9" style="656" customWidth="1"/>
    <col min="257" max="257" width="10.625" style="656" customWidth="1"/>
    <col min="258" max="270" width="5.375" style="656" customWidth="1"/>
    <col min="271" max="272" width="5.75" style="656" customWidth="1"/>
    <col min="273" max="512" width="9" style="656" customWidth="1"/>
    <col min="513" max="513" width="10.625" style="656" customWidth="1"/>
    <col min="514" max="526" width="5.375" style="656" customWidth="1"/>
    <col min="527" max="528" width="5.75" style="656" customWidth="1"/>
    <col min="529" max="768" width="9" style="656" customWidth="1"/>
    <col min="769" max="769" width="10.625" style="656" customWidth="1"/>
    <col min="770" max="782" width="5.375" style="656" customWidth="1"/>
    <col min="783" max="784" width="5.75" style="656" customWidth="1"/>
    <col min="785" max="1024" width="9" style="656" customWidth="1"/>
    <col min="1025" max="1025" width="10.625" style="656" customWidth="1"/>
    <col min="1026" max="1038" width="5.375" style="656" customWidth="1"/>
    <col min="1039" max="1040" width="5.75" style="656" customWidth="1"/>
    <col min="1041" max="1280" width="9" style="656" customWidth="1"/>
    <col min="1281" max="1281" width="10.625" style="656" customWidth="1"/>
    <col min="1282" max="1294" width="5.375" style="656" customWidth="1"/>
    <col min="1295" max="1296" width="5.75" style="656" customWidth="1"/>
    <col min="1297" max="1536" width="9" style="656" customWidth="1"/>
    <col min="1537" max="1537" width="10.625" style="656" customWidth="1"/>
    <col min="1538" max="1550" width="5.375" style="656" customWidth="1"/>
    <col min="1551" max="1552" width="5.75" style="656" customWidth="1"/>
    <col min="1553" max="1792" width="9" style="656" customWidth="1"/>
    <col min="1793" max="1793" width="10.625" style="656" customWidth="1"/>
    <col min="1794" max="1806" width="5.375" style="656" customWidth="1"/>
    <col min="1807" max="1808" width="5.75" style="656" customWidth="1"/>
    <col min="1809" max="2048" width="9" style="656" customWidth="1"/>
    <col min="2049" max="2049" width="10.625" style="656" customWidth="1"/>
    <col min="2050" max="2062" width="5.375" style="656" customWidth="1"/>
    <col min="2063" max="2064" width="5.75" style="656" customWidth="1"/>
    <col min="2065" max="2304" width="9" style="656" customWidth="1"/>
    <col min="2305" max="2305" width="10.625" style="656" customWidth="1"/>
    <col min="2306" max="2318" width="5.375" style="656" customWidth="1"/>
    <col min="2319" max="2320" width="5.75" style="656" customWidth="1"/>
    <col min="2321" max="2560" width="9" style="656" customWidth="1"/>
    <col min="2561" max="2561" width="10.625" style="656" customWidth="1"/>
    <col min="2562" max="2574" width="5.375" style="656" customWidth="1"/>
    <col min="2575" max="2576" width="5.75" style="656" customWidth="1"/>
    <col min="2577" max="2816" width="9" style="656" customWidth="1"/>
    <col min="2817" max="2817" width="10.625" style="656" customWidth="1"/>
    <col min="2818" max="2830" width="5.375" style="656" customWidth="1"/>
    <col min="2831" max="2832" width="5.75" style="656" customWidth="1"/>
    <col min="2833" max="3072" width="9" style="656" customWidth="1"/>
    <col min="3073" max="3073" width="10.625" style="656" customWidth="1"/>
    <col min="3074" max="3086" width="5.375" style="656" customWidth="1"/>
    <col min="3087" max="3088" width="5.75" style="656" customWidth="1"/>
    <col min="3089" max="3328" width="9" style="656" customWidth="1"/>
    <col min="3329" max="3329" width="10.625" style="656" customWidth="1"/>
    <col min="3330" max="3342" width="5.375" style="656" customWidth="1"/>
    <col min="3343" max="3344" width="5.75" style="656" customWidth="1"/>
    <col min="3345" max="3584" width="9" style="656" customWidth="1"/>
    <col min="3585" max="3585" width="10.625" style="656" customWidth="1"/>
    <col min="3586" max="3598" width="5.375" style="656" customWidth="1"/>
    <col min="3599" max="3600" width="5.75" style="656" customWidth="1"/>
    <col min="3601" max="3840" width="9" style="656" customWidth="1"/>
    <col min="3841" max="3841" width="10.625" style="656" customWidth="1"/>
    <col min="3842" max="3854" width="5.375" style="656" customWidth="1"/>
    <col min="3855" max="3856" width="5.75" style="656" customWidth="1"/>
    <col min="3857" max="4096" width="9" style="656" customWidth="1"/>
    <col min="4097" max="4097" width="10.625" style="656" customWidth="1"/>
    <col min="4098" max="4110" width="5.375" style="656" customWidth="1"/>
    <col min="4111" max="4112" width="5.75" style="656" customWidth="1"/>
    <col min="4113" max="4352" width="9" style="656" customWidth="1"/>
    <col min="4353" max="4353" width="10.625" style="656" customWidth="1"/>
    <col min="4354" max="4366" width="5.375" style="656" customWidth="1"/>
    <col min="4367" max="4368" width="5.75" style="656" customWidth="1"/>
    <col min="4369" max="4608" width="9" style="656" customWidth="1"/>
    <col min="4609" max="4609" width="10.625" style="656" customWidth="1"/>
    <col min="4610" max="4622" width="5.375" style="656" customWidth="1"/>
    <col min="4623" max="4624" width="5.75" style="656" customWidth="1"/>
    <col min="4625" max="4864" width="9" style="656" customWidth="1"/>
    <col min="4865" max="4865" width="10.625" style="656" customWidth="1"/>
    <col min="4866" max="4878" width="5.375" style="656" customWidth="1"/>
    <col min="4879" max="4880" width="5.75" style="656" customWidth="1"/>
    <col min="4881" max="5120" width="9" style="656" customWidth="1"/>
    <col min="5121" max="5121" width="10.625" style="656" customWidth="1"/>
    <col min="5122" max="5134" width="5.375" style="656" customWidth="1"/>
    <col min="5135" max="5136" width="5.75" style="656" customWidth="1"/>
    <col min="5137" max="5376" width="9" style="656" customWidth="1"/>
    <col min="5377" max="5377" width="10.625" style="656" customWidth="1"/>
    <col min="5378" max="5390" width="5.375" style="656" customWidth="1"/>
    <col min="5391" max="5392" width="5.75" style="656" customWidth="1"/>
    <col min="5393" max="5632" width="9" style="656" customWidth="1"/>
    <col min="5633" max="5633" width="10.625" style="656" customWidth="1"/>
    <col min="5634" max="5646" width="5.375" style="656" customWidth="1"/>
    <col min="5647" max="5648" width="5.75" style="656" customWidth="1"/>
    <col min="5649" max="5888" width="9" style="656" customWidth="1"/>
    <col min="5889" max="5889" width="10.625" style="656" customWidth="1"/>
    <col min="5890" max="5902" width="5.375" style="656" customWidth="1"/>
    <col min="5903" max="5904" width="5.75" style="656" customWidth="1"/>
    <col min="5905" max="6144" width="9" style="656" customWidth="1"/>
    <col min="6145" max="6145" width="10.625" style="656" customWidth="1"/>
    <col min="6146" max="6158" width="5.375" style="656" customWidth="1"/>
    <col min="6159" max="6160" width="5.75" style="656" customWidth="1"/>
    <col min="6161" max="6400" width="9" style="656" customWidth="1"/>
    <col min="6401" max="6401" width="10.625" style="656" customWidth="1"/>
    <col min="6402" max="6414" width="5.375" style="656" customWidth="1"/>
    <col min="6415" max="6416" width="5.75" style="656" customWidth="1"/>
    <col min="6417" max="6656" width="9" style="656" customWidth="1"/>
    <col min="6657" max="6657" width="10.625" style="656" customWidth="1"/>
    <col min="6658" max="6670" width="5.375" style="656" customWidth="1"/>
    <col min="6671" max="6672" width="5.75" style="656" customWidth="1"/>
    <col min="6673" max="6912" width="9" style="656" customWidth="1"/>
    <col min="6913" max="6913" width="10.625" style="656" customWidth="1"/>
    <col min="6914" max="6926" width="5.375" style="656" customWidth="1"/>
    <col min="6927" max="6928" width="5.75" style="656" customWidth="1"/>
    <col min="6929" max="7168" width="9" style="656" customWidth="1"/>
    <col min="7169" max="7169" width="10.625" style="656" customWidth="1"/>
    <col min="7170" max="7182" width="5.375" style="656" customWidth="1"/>
    <col min="7183" max="7184" width="5.75" style="656" customWidth="1"/>
    <col min="7185" max="7424" width="9" style="656" customWidth="1"/>
    <col min="7425" max="7425" width="10.625" style="656" customWidth="1"/>
    <col min="7426" max="7438" width="5.375" style="656" customWidth="1"/>
    <col min="7439" max="7440" width="5.75" style="656" customWidth="1"/>
    <col min="7441" max="7680" width="9" style="656" customWidth="1"/>
    <col min="7681" max="7681" width="10.625" style="656" customWidth="1"/>
    <col min="7682" max="7694" width="5.375" style="656" customWidth="1"/>
    <col min="7695" max="7696" width="5.75" style="656" customWidth="1"/>
    <col min="7697" max="7936" width="9" style="656" customWidth="1"/>
    <col min="7937" max="7937" width="10.625" style="656" customWidth="1"/>
    <col min="7938" max="7950" width="5.375" style="656" customWidth="1"/>
    <col min="7951" max="7952" width="5.75" style="656" customWidth="1"/>
    <col min="7953" max="8192" width="9" style="656" customWidth="1"/>
    <col min="8193" max="8193" width="10.625" style="656" customWidth="1"/>
    <col min="8194" max="8206" width="5.375" style="656" customWidth="1"/>
    <col min="8207" max="8208" width="5.75" style="656" customWidth="1"/>
    <col min="8209" max="8448" width="9" style="656" customWidth="1"/>
    <col min="8449" max="8449" width="10.625" style="656" customWidth="1"/>
    <col min="8450" max="8462" width="5.375" style="656" customWidth="1"/>
    <col min="8463" max="8464" width="5.75" style="656" customWidth="1"/>
    <col min="8465" max="8704" width="9" style="656" customWidth="1"/>
    <col min="8705" max="8705" width="10.625" style="656" customWidth="1"/>
    <col min="8706" max="8718" width="5.375" style="656" customWidth="1"/>
    <col min="8719" max="8720" width="5.75" style="656" customWidth="1"/>
    <col min="8721" max="8960" width="9" style="656" customWidth="1"/>
    <col min="8961" max="8961" width="10.625" style="656" customWidth="1"/>
    <col min="8962" max="8974" width="5.375" style="656" customWidth="1"/>
    <col min="8975" max="8976" width="5.75" style="656" customWidth="1"/>
    <col min="8977" max="9216" width="9" style="656" customWidth="1"/>
    <col min="9217" max="9217" width="10.625" style="656" customWidth="1"/>
    <col min="9218" max="9230" width="5.375" style="656" customWidth="1"/>
    <col min="9231" max="9232" width="5.75" style="656" customWidth="1"/>
    <col min="9233" max="9472" width="9" style="656" customWidth="1"/>
    <col min="9473" max="9473" width="10.625" style="656" customWidth="1"/>
    <col min="9474" max="9486" width="5.375" style="656" customWidth="1"/>
    <col min="9487" max="9488" width="5.75" style="656" customWidth="1"/>
    <col min="9489" max="9728" width="9" style="656" customWidth="1"/>
    <col min="9729" max="9729" width="10.625" style="656" customWidth="1"/>
    <col min="9730" max="9742" width="5.375" style="656" customWidth="1"/>
    <col min="9743" max="9744" width="5.75" style="656" customWidth="1"/>
    <col min="9745" max="9984" width="9" style="656" customWidth="1"/>
    <col min="9985" max="9985" width="10.625" style="656" customWidth="1"/>
    <col min="9986" max="9998" width="5.375" style="656" customWidth="1"/>
    <col min="9999" max="10000" width="5.75" style="656" customWidth="1"/>
    <col min="10001" max="10240" width="9" style="656" customWidth="1"/>
    <col min="10241" max="10241" width="10.625" style="656" customWidth="1"/>
    <col min="10242" max="10254" width="5.375" style="656" customWidth="1"/>
    <col min="10255" max="10256" width="5.75" style="656" customWidth="1"/>
    <col min="10257" max="10496" width="9" style="656" customWidth="1"/>
    <col min="10497" max="10497" width="10.625" style="656" customWidth="1"/>
    <col min="10498" max="10510" width="5.375" style="656" customWidth="1"/>
    <col min="10511" max="10512" width="5.75" style="656" customWidth="1"/>
    <col min="10513" max="10752" width="9" style="656" customWidth="1"/>
    <col min="10753" max="10753" width="10.625" style="656" customWidth="1"/>
    <col min="10754" max="10766" width="5.375" style="656" customWidth="1"/>
    <col min="10767" max="10768" width="5.75" style="656" customWidth="1"/>
    <col min="10769" max="11008" width="9" style="656" customWidth="1"/>
    <col min="11009" max="11009" width="10.625" style="656" customWidth="1"/>
    <col min="11010" max="11022" width="5.375" style="656" customWidth="1"/>
    <col min="11023" max="11024" width="5.75" style="656" customWidth="1"/>
    <col min="11025" max="11264" width="9" style="656" customWidth="1"/>
    <col min="11265" max="11265" width="10.625" style="656" customWidth="1"/>
    <col min="11266" max="11278" width="5.375" style="656" customWidth="1"/>
    <col min="11279" max="11280" width="5.75" style="656" customWidth="1"/>
    <col min="11281" max="11520" width="9" style="656" customWidth="1"/>
    <col min="11521" max="11521" width="10.625" style="656" customWidth="1"/>
    <col min="11522" max="11534" width="5.375" style="656" customWidth="1"/>
    <col min="11535" max="11536" width="5.75" style="656" customWidth="1"/>
    <col min="11537" max="11776" width="9" style="656" customWidth="1"/>
    <col min="11777" max="11777" width="10.625" style="656" customWidth="1"/>
    <col min="11778" max="11790" width="5.375" style="656" customWidth="1"/>
    <col min="11791" max="11792" width="5.75" style="656" customWidth="1"/>
    <col min="11793" max="12032" width="9" style="656" customWidth="1"/>
    <col min="12033" max="12033" width="10.625" style="656" customWidth="1"/>
    <col min="12034" max="12046" width="5.375" style="656" customWidth="1"/>
    <col min="12047" max="12048" width="5.75" style="656" customWidth="1"/>
    <col min="12049" max="12288" width="9" style="656" customWidth="1"/>
    <col min="12289" max="12289" width="10.625" style="656" customWidth="1"/>
    <col min="12290" max="12302" width="5.375" style="656" customWidth="1"/>
    <col min="12303" max="12304" width="5.75" style="656" customWidth="1"/>
    <col min="12305" max="12544" width="9" style="656" customWidth="1"/>
    <col min="12545" max="12545" width="10.625" style="656" customWidth="1"/>
    <col min="12546" max="12558" width="5.375" style="656" customWidth="1"/>
    <col min="12559" max="12560" width="5.75" style="656" customWidth="1"/>
    <col min="12561" max="12800" width="9" style="656" customWidth="1"/>
    <col min="12801" max="12801" width="10.625" style="656" customWidth="1"/>
    <col min="12802" max="12814" width="5.375" style="656" customWidth="1"/>
    <col min="12815" max="12816" width="5.75" style="656" customWidth="1"/>
    <col min="12817" max="13056" width="9" style="656" customWidth="1"/>
    <col min="13057" max="13057" width="10.625" style="656" customWidth="1"/>
    <col min="13058" max="13070" width="5.375" style="656" customWidth="1"/>
    <col min="13071" max="13072" width="5.75" style="656" customWidth="1"/>
    <col min="13073" max="13312" width="9" style="656" customWidth="1"/>
    <col min="13313" max="13313" width="10.625" style="656" customWidth="1"/>
    <col min="13314" max="13326" width="5.375" style="656" customWidth="1"/>
    <col min="13327" max="13328" width="5.75" style="656" customWidth="1"/>
    <col min="13329" max="13568" width="9" style="656" customWidth="1"/>
    <col min="13569" max="13569" width="10.625" style="656" customWidth="1"/>
    <col min="13570" max="13582" width="5.375" style="656" customWidth="1"/>
    <col min="13583" max="13584" width="5.75" style="656" customWidth="1"/>
    <col min="13585" max="13824" width="9" style="656" customWidth="1"/>
    <col min="13825" max="13825" width="10.625" style="656" customWidth="1"/>
    <col min="13826" max="13838" width="5.375" style="656" customWidth="1"/>
    <col min="13839" max="13840" width="5.75" style="656" customWidth="1"/>
    <col min="13841" max="14080" width="9" style="656" customWidth="1"/>
    <col min="14081" max="14081" width="10.625" style="656" customWidth="1"/>
    <col min="14082" max="14094" width="5.375" style="656" customWidth="1"/>
    <col min="14095" max="14096" width="5.75" style="656" customWidth="1"/>
    <col min="14097" max="14336" width="9" style="656" customWidth="1"/>
    <col min="14337" max="14337" width="10.625" style="656" customWidth="1"/>
    <col min="14338" max="14350" width="5.375" style="656" customWidth="1"/>
    <col min="14351" max="14352" width="5.75" style="656" customWidth="1"/>
    <col min="14353" max="14592" width="9" style="656" customWidth="1"/>
    <col min="14593" max="14593" width="10.625" style="656" customWidth="1"/>
    <col min="14594" max="14606" width="5.375" style="656" customWidth="1"/>
    <col min="14607" max="14608" width="5.75" style="656" customWidth="1"/>
    <col min="14609" max="14848" width="9" style="656" customWidth="1"/>
    <col min="14849" max="14849" width="10.625" style="656" customWidth="1"/>
    <col min="14850" max="14862" width="5.375" style="656" customWidth="1"/>
    <col min="14863" max="14864" width="5.75" style="656" customWidth="1"/>
    <col min="14865" max="15104" width="9" style="656" customWidth="1"/>
    <col min="15105" max="15105" width="10.625" style="656" customWidth="1"/>
    <col min="15106" max="15118" width="5.375" style="656" customWidth="1"/>
    <col min="15119" max="15120" width="5.75" style="656" customWidth="1"/>
    <col min="15121" max="15360" width="9" style="656" customWidth="1"/>
    <col min="15361" max="15361" width="10.625" style="656" customWidth="1"/>
    <col min="15362" max="15374" width="5.375" style="656" customWidth="1"/>
    <col min="15375" max="15376" width="5.75" style="656" customWidth="1"/>
    <col min="15377" max="15616" width="9" style="656" customWidth="1"/>
    <col min="15617" max="15617" width="10.625" style="656" customWidth="1"/>
    <col min="15618" max="15630" width="5.375" style="656" customWidth="1"/>
    <col min="15631" max="15632" width="5.75" style="656" customWidth="1"/>
    <col min="15633" max="15872" width="9" style="656" customWidth="1"/>
    <col min="15873" max="15873" width="10.625" style="656" customWidth="1"/>
    <col min="15874" max="15886" width="5.375" style="656" customWidth="1"/>
    <col min="15887" max="15888" width="5.75" style="656" customWidth="1"/>
    <col min="15889" max="16128" width="9" style="656" customWidth="1"/>
    <col min="16129" max="16129" width="10.625" style="656" customWidth="1"/>
    <col min="16130" max="16142" width="5.375" style="656" customWidth="1"/>
    <col min="16143" max="16144" width="5.75" style="656" customWidth="1"/>
    <col min="16145" max="16384" width="9" style="656" customWidth="1"/>
  </cols>
  <sheetData>
    <row r="1" spans="1:16" ht="15.75">
      <c r="A1" s="656" t="s">
        <v>2885</v>
      </c>
      <c r="K1" s="1813">
        <v>20190401</v>
      </c>
      <c r="L1" s="1813"/>
      <c r="M1" s="1813"/>
      <c r="N1" s="1813"/>
      <c r="O1" s="1813"/>
      <c r="P1" s="1813"/>
    </row>
    <row r="2" spans="1:16" ht="16.5">
      <c r="J2" s="1814" t="s">
        <v>3319</v>
      </c>
      <c r="K2" s="1814"/>
      <c r="L2" s="1814"/>
      <c r="M2" s="1814"/>
      <c r="N2" s="1814"/>
      <c r="O2" s="1814"/>
      <c r="P2" s="1814"/>
    </row>
    <row r="3" spans="1:16" ht="15.75">
      <c r="N3" s="657"/>
      <c r="O3" s="657"/>
      <c r="P3" s="658" t="s">
        <v>3320</v>
      </c>
    </row>
    <row r="4" spans="1:16" ht="15.75">
      <c r="A4" s="1815" t="s">
        <v>2811</v>
      </c>
      <c r="B4" s="1816"/>
      <c r="C4" s="1816"/>
      <c r="D4" s="1816"/>
      <c r="E4" s="1816"/>
      <c r="F4" s="1816"/>
      <c r="G4" s="1816"/>
      <c r="H4" s="1816"/>
      <c r="I4" s="1816"/>
      <c r="J4" s="1816"/>
      <c r="K4" s="1816"/>
      <c r="L4" s="1816"/>
      <c r="M4" s="1816"/>
      <c r="N4" s="1816"/>
      <c r="O4" s="1816"/>
      <c r="P4" s="1816"/>
    </row>
    <row r="5" spans="1:16" ht="15.75">
      <c r="A5" s="1816"/>
      <c r="B5" s="1816"/>
      <c r="C5" s="1816"/>
      <c r="D5" s="1816"/>
      <c r="E5" s="1816"/>
      <c r="F5" s="1816"/>
      <c r="G5" s="1816"/>
      <c r="H5" s="1816"/>
      <c r="I5" s="1816"/>
      <c r="J5" s="1816"/>
      <c r="K5" s="1816"/>
      <c r="L5" s="1816"/>
      <c r="M5" s="1816"/>
      <c r="N5" s="1816"/>
      <c r="O5" s="1816"/>
      <c r="P5" s="1816"/>
    </row>
    <row r="6" spans="1:16">
      <c r="A6" s="1817" t="s">
        <v>3040</v>
      </c>
      <c r="B6" s="1818"/>
      <c r="C6" s="1818"/>
      <c r="D6" s="1818"/>
      <c r="E6" s="1818"/>
      <c r="F6" s="1818"/>
      <c r="G6" s="1818"/>
      <c r="H6" s="1818"/>
      <c r="I6" s="1818"/>
      <c r="J6" s="1818"/>
      <c r="K6" s="1818"/>
      <c r="L6" s="1818"/>
      <c r="M6" s="1818"/>
      <c r="N6" s="1818"/>
      <c r="O6" s="1818"/>
      <c r="P6" s="1819"/>
    </row>
    <row r="7" spans="1:16">
      <c r="A7" s="659" t="s">
        <v>3321</v>
      </c>
      <c r="B7" s="660" t="s">
        <v>3322</v>
      </c>
      <c r="C7" s="661"/>
      <c r="D7" s="661"/>
      <c r="E7" s="661"/>
      <c r="F7" s="661"/>
      <c r="G7" s="661"/>
      <c r="H7" s="661"/>
      <c r="I7" s="661"/>
      <c r="J7" s="661"/>
      <c r="K7" s="661"/>
      <c r="L7" s="661"/>
      <c r="M7" s="661"/>
      <c r="N7" s="661"/>
      <c r="O7" s="661"/>
      <c r="P7" s="661"/>
    </row>
    <row r="8" spans="1:16" ht="24.95" customHeight="1">
      <c r="A8" s="662" t="str">
        <f>IF(目次・入力シート!BJ29="完了検査","■","□")</f>
        <v>□</v>
      </c>
      <c r="B8" s="663" t="s">
        <v>1233</v>
      </c>
      <c r="C8" s="663"/>
      <c r="D8" s="663"/>
      <c r="E8" s="663"/>
      <c r="F8" s="663"/>
      <c r="G8" s="663"/>
      <c r="H8" s="664"/>
      <c r="I8" s="1820" t="s">
        <v>3323</v>
      </c>
      <c r="J8" s="1820"/>
      <c r="K8" s="1820"/>
      <c r="L8" s="665" t="s">
        <v>374</v>
      </c>
      <c r="M8" s="1821" t="str">
        <f>IF(目次・入力シート!BK31="","「目次･入力シート」に入力してください",目次・入力シート!BK31)</f>
        <v>「目次･入力シート」に入力してください</v>
      </c>
      <c r="N8" s="1821"/>
      <c r="O8" s="1821"/>
      <c r="P8" s="666" t="s">
        <v>375</v>
      </c>
    </row>
    <row r="9" spans="1:16" ht="24.95" customHeight="1">
      <c r="A9" s="662" t="str">
        <f>IF(目次・入力シート!BJ35="適合証明現場検査","■","□")</f>
        <v>□</v>
      </c>
      <c r="B9" s="667" t="s">
        <v>2773</v>
      </c>
      <c r="C9" s="668"/>
      <c r="D9" s="669"/>
      <c r="E9" s="662" t="str">
        <f>IF(目次・入力シート!BJ37="中間検査","■","□")</f>
        <v>□</v>
      </c>
      <c r="F9" s="668" t="s">
        <v>3324</v>
      </c>
      <c r="G9" s="662" t="str">
        <f>IF(目次・入力シート!BJ37="竣工検査","■","□")</f>
        <v>□</v>
      </c>
      <c r="H9" s="670" t="s">
        <v>3325</v>
      </c>
      <c r="I9" s="1822" t="s">
        <v>3326</v>
      </c>
      <c r="J9" s="1822"/>
      <c r="K9" s="1822"/>
      <c r="L9" s="671" t="s">
        <v>374</v>
      </c>
      <c r="M9" s="1823" t="str">
        <f>IF(目次・入力シート!BK39="","「目次･入力シート」に入力してください",目次・入力シート!BK39)</f>
        <v>「目次･入力シート」に入力してください</v>
      </c>
      <c r="N9" s="1823"/>
      <c r="O9" s="1823"/>
      <c r="P9" s="672" t="s">
        <v>375</v>
      </c>
    </row>
    <row r="10" spans="1:16" s="660" customFormat="1" ht="9.9499999999999993" customHeight="1">
      <c r="A10" s="673"/>
      <c r="B10" s="674"/>
      <c r="C10" s="674"/>
      <c r="D10" s="674"/>
      <c r="E10" s="674"/>
      <c r="F10" s="674"/>
      <c r="G10" s="675"/>
      <c r="H10" s="675"/>
      <c r="I10" s="676"/>
      <c r="J10" s="675"/>
      <c r="K10" s="676"/>
    </row>
    <row r="11" spans="1:16">
      <c r="A11" s="1824" t="s">
        <v>3327</v>
      </c>
      <c r="B11" s="1825"/>
      <c r="C11" s="1825"/>
      <c r="D11" s="1825"/>
      <c r="E11" s="1825"/>
      <c r="F11" s="1825"/>
      <c r="G11" s="1825"/>
      <c r="H11" s="1825"/>
      <c r="I11" s="1825"/>
      <c r="J11" s="1825"/>
      <c r="K11" s="1825"/>
      <c r="L11" s="1825"/>
      <c r="M11" s="1825"/>
      <c r="N11" s="1825"/>
      <c r="O11" s="1825"/>
      <c r="P11" s="1826"/>
    </row>
    <row r="12" spans="1:16" ht="12" customHeight="1">
      <c r="A12" s="1827" t="s">
        <v>2887</v>
      </c>
      <c r="B12" s="1829" t="s">
        <v>2888</v>
      </c>
      <c r="C12" s="1829"/>
      <c r="D12" s="1829"/>
      <c r="E12" s="1829"/>
      <c r="F12" s="1830"/>
      <c r="G12" s="1830"/>
      <c r="H12" s="1830"/>
      <c r="I12" s="1830"/>
      <c r="J12" s="1830"/>
      <c r="K12" s="1830"/>
      <c r="L12" s="1830"/>
      <c r="M12" s="1831"/>
      <c r="N12" s="1831"/>
      <c r="O12" s="1835" t="s">
        <v>3050</v>
      </c>
      <c r="P12" s="1837" t="s">
        <v>3051</v>
      </c>
    </row>
    <row r="13" spans="1:16" ht="12" customHeight="1">
      <c r="A13" s="1828"/>
      <c r="B13" s="1832"/>
      <c r="C13" s="1832"/>
      <c r="D13" s="1832"/>
      <c r="E13" s="1832"/>
      <c r="F13" s="1833"/>
      <c r="G13" s="1833"/>
      <c r="H13" s="1833"/>
      <c r="I13" s="1833"/>
      <c r="J13" s="1833"/>
      <c r="K13" s="1833"/>
      <c r="L13" s="1833"/>
      <c r="M13" s="1834"/>
      <c r="N13" s="1834"/>
      <c r="O13" s="1836"/>
      <c r="P13" s="1838"/>
    </row>
    <row r="14" spans="1:16" ht="15.75">
      <c r="A14" s="1844" t="s">
        <v>2974</v>
      </c>
      <c r="B14" s="1845"/>
      <c r="C14" s="1845"/>
      <c r="D14" s="1845"/>
      <c r="E14" s="1845"/>
      <c r="F14" s="1845"/>
      <c r="G14" s="1845"/>
      <c r="H14" s="1845"/>
      <c r="I14" s="1845"/>
      <c r="J14" s="1845"/>
      <c r="K14" s="1845"/>
      <c r="L14" s="1845"/>
      <c r="M14" s="1845"/>
      <c r="N14" s="1845"/>
      <c r="O14" s="677"/>
      <c r="P14" s="678"/>
    </row>
    <row r="15" spans="1:16" s="687" customFormat="1" ht="15" customHeight="1">
      <c r="A15" s="679" t="s">
        <v>2891</v>
      </c>
      <c r="B15" s="680" t="s">
        <v>2979</v>
      </c>
      <c r="C15" s="681" t="s">
        <v>2977</v>
      </c>
      <c r="D15" s="681"/>
      <c r="E15" s="681"/>
      <c r="F15" s="681"/>
      <c r="G15" s="681"/>
      <c r="H15" s="681"/>
      <c r="I15" s="681"/>
      <c r="J15" s="681"/>
      <c r="K15" s="682"/>
      <c r="L15" s="683"/>
      <c r="M15" s="681"/>
      <c r="N15" s="684"/>
      <c r="O15" s="685"/>
      <c r="P15" s="686" t="s">
        <v>28</v>
      </c>
    </row>
    <row r="16" spans="1:16" s="687" customFormat="1" ht="15" customHeight="1">
      <c r="A16" s="679" t="s">
        <v>2891</v>
      </c>
      <c r="B16" s="680" t="s">
        <v>2979</v>
      </c>
      <c r="C16" s="681" t="s">
        <v>2980</v>
      </c>
      <c r="D16" s="681"/>
      <c r="E16" s="681"/>
      <c r="F16" s="681"/>
      <c r="G16" s="681"/>
      <c r="H16" s="681"/>
      <c r="I16" s="681"/>
      <c r="J16" s="681"/>
      <c r="K16" s="682"/>
      <c r="L16" s="683"/>
      <c r="M16" s="681"/>
      <c r="N16" s="684"/>
      <c r="O16" s="685"/>
      <c r="P16" s="686" t="s">
        <v>28</v>
      </c>
    </row>
    <row r="17" spans="1:16" s="687" customFormat="1" ht="15" customHeight="1">
      <c r="A17" s="679" t="s">
        <v>2891</v>
      </c>
      <c r="B17" s="680" t="s">
        <v>2979</v>
      </c>
      <c r="C17" s="681" t="s">
        <v>2983</v>
      </c>
      <c r="D17" s="681"/>
      <c r="E17" s="681"/>
      <c r="F17" s="681"/>
      <c r="G17" s="681"/>
      <c r="H17" s="681"/>
      <c r="I17" s="681"/>
      <c r="J17" s="681"/>
      <c r="K17" s="682"/>
      <c r="L17" s="683" t="s">
        <v>2984</v>
      </c>
      <c r="M17" s="681"/>
      <c r="N17" s="684"/>
      <c r="O17" s="685"/>
      <c r="P17" s="686" t="s">
        <v>28</v>
      </c>
    </row>
    <row r="18" spans="1:16" s="687" customFormat="1" ht="15" customHeight="1">
      <c r="A18" s="679" t="s">
        <v>2891</v>
      </c>
      <c r="B18" s="680" t="s">
        <v>2979</v>
      </c>
      <c r="C18" s="681" t="s">
        <v>2988</v>
      </c>
      <c r="D18" s="681"/>
      <c r="E18" s="681"/>
      <c r="F18" s="681"/>
      <c r="G18" s="681"/>
      <c r="H18" s="681"/>
      <c r="I18" s="681"/>
      <c r="J18" s="681"/>
      <c r="K18" s="682"/>
      <c r="L18" s="683"/>
      <c r="M18" s="681"/>
      <c r="N18" s="684"/>
      <c r="O18" s="685"/>
      <c r="P18" s="686" t="s">
        <v>28</v>
      </c>
    </row>
    <row r="19" spans="1:16" s="687" customFormat="1" ht="15" customHeight="1">
      <c r="A19" s="688" t="s">
        <v>2891</v>
      </c>
      <c r="B19" s="689" t="s">
        <v>2979</v>
      </c>
      <c r="C19" s="690" t="s">
        <v>2991</v>
      </c>
      <c r="D19" s="691"/>
      <c r="E19" s="691"/>
      <c r="F19" s="691"/>
      <c r="G19" s="691"/>
      <c r="H19" s="691"/>
      <c r="I19" s="691"/>
      <c r="J19" s="691"/>
      <c r="K19" s="691"/>
      <c r="L19" s="691"/>
      <c r="M19" s="691"/>
      <c r="N19" s="691"/>
      <c r="O19" s="692"/>
      <c r="P19" s="693" t="s">
        <v>28</v>
      </c>
    </row>
    <row r="20" spans="1:16" s="687" customFormat="1" ht="15" customHeight="1">
      <c r="A20" s="694"/>
      <c r="B20" s="695"/>
      <c r="C20" s="1846" t="s">
        <v>2993</v>
      </c>
      <c r="D20" s="1847"/>
      <c r="E20" s="1847"/>
      <c r="F20" s="1847"/>
      <c r="G20" s="1847"/>
      <c r="H20" s="1847"/>
      <c r="I20" s="1847"/>
      <c r="J20" s="1847"/>
      <c r="K20" s="1847"/>
      <c r="L20" s="1847"/>
      <c r="M20" s="1847"/>
      <c r="N20" s="1847"/>
      <c r="O20" s="695"/>
      <c r="P20" s="695"/>
    </row>
    <row r="21" spans="1:16" s="687" customFormat="1" ht="15" customHeight="1">
      <c r="A21" s="694"/>
      <c r="B21" s="695"/>
      <c r="C21" s="696" t="s">
        <v>2995</v>
      </c>
      <c r="D21" s="697"/>
      <c r="E21" s="697"/>
      <c r="F21" s="697"/>
      <c r="G21" s="697"/>
      <c r="H21" s="697"/>
      <c r="I21" s="697"/>
      <c r="J21" s="697"/>
      <c r="K21" s="698"/>
      <c r="L21" s="697"/>
      <c r="M21" s="697"/>
      <c r="N21" s="699"/>
      <c r="O21" s="695"/>
      <c r="P21" s="695"/>
    </row>
    <row r="22" spans="1:16" s="687" customFormat="1" ht="15" customHeight="1">
      <c r="A22" s="694"/>
      <c r="B22" s="695"/>
      <c r="C22" s="1846" t="s">
        <v>2997</v>
      </c>
      <c r="D22" s="1847"/>
      <c r="E22" s="1847"/>
      <c r="F22" s="1847"/>
      <c r="G22" s="1847"/>
      <c r="H22" s="1847"/>
      <c r="I22" s="1847"/>
      <c r="J22" s="1847"/>
      <c r="K22" s="1847"/>
      <c r="L22" s="1847"/>
      <c r="M22" s="1847"/>
      <c r="N22" s="1848"/>
      <c r="O22" s="695"/>
      <c r="P22" s="695"/>
    </row>
    <row r="23" spans="1:16" s="687" customFormat="1" ht="15" customHeight="1">
      <c r="A23" s="694"/>
      <c r="B23" s="695"/>
      <c r="C23" s="696" t="s">
        <v>2999</v>
      </c>
      <c r="D23" s="697"/>
      <c r="E23" s="697"/>
      <c r="F23" s="697"/>
      <c r="G23" s="697"/>
      <c r="H23" s="697"/>
      <c r="I23" s="697"/>
      <c r="J23" s="697"/>
      <c r="K23" s="698"/>
      <c r="L23" s="697"/>
      <c r="M23" s="697"/>
      <c r="N23" s="699"/>
      <c r="O23" s="695"/>
      <c r="P23" s="695"/>
    </row>
    <row r="24" spans="1:16" s="687" customFormat="1" ht="15" customHeight="1">
      <c r="A24" s="694"/>
      <c r="B24" s="695"/>
      <c r="C24" s="1849" t="s">
        <v>3004</v>
      </c>
      <c r="D24" s="1850"/>
      <c r="E24" s="1850"/>
      <c r="F24" s="1850"/>
      <c r="G24" s="1850"/>
      <c r="H24" s="1850"/>
      <c r="I24" s="1850"/>
      <c r="J24" s="1850"/>
      <c r="K24" s="1850"/>
      <c r="L24" s="1850"/>
      <c r="M24" s="1850"/>
      <c r="N24" s="1851"/>
      <c r="O24" s="695"/>
      <c r="P24" s="695"/>
    </row>
    <row r="25" spans="1:16" s="687" customFormat="1" ht="15" customHeight="1">
      <c r="A25" s="694"/>
      <c r="B25" s="695"/>
      <c r="C25" s="1852"/>
      <c r="D25" s="1853"/>
      <c r="E25" s="1853"/>
      <c r="F25" s="1853"/>
      <c r="G25" s="1853"/>
      <c r="H25" s="1853"/>
      <c r="I25" s="1853"/>
      <c r="J25" s="1853"/>
      <c r="K25" s="1853"/>
      <c r="L25" s="1853"/>
      <c r="M25" s="1853"/>
      <c r="N25" s="1854"/>
      <c r="O25" s="695"/>
      <c r="P25" s="695"/>
    </row>
    <row r="26" spans="1:16" s="687" customFormat="1" ht="15" customHeight="1">
      <c r="A26" s="694"/>
      <c r="B26" s="695"/>
      <c r="C26" s="1850" t="s">
        <v>3007</v>
      </c>
      <c r="D26" s="1850"/>
      <c r="E26" s="1850"/>
      <c r="F26" s="1850"/>
      <c r="G26" s="1850"/>
      <c r="H26" s="1850"/>
      <c r="I26" s="1850"/>
      <c r="J26" s="1850"/>
      <c r="K26" s="1850"/>
      <c r="L26" s="1850"/>
      <c r="M26" s="1850"/>
      <c r="N26" s="1850"/>
      <c r="O26" s="695"/>
      <c r="P26" s="695"/>
    </row>
    <row r="27" spans="1:16" s="687" customFormat="1" ht="15" customHeight="1">
      <c r="A27" s="700"/>
      <c r="B27" s="701"/>
      <c r="C27" s="1855" t="s">
        <v>3009</v>
      </c>
      <c r="D27" s="1855"/>
      <c r="E27" s="1855"/>
      <c r="F27" s="1855"/>
      <c r="G27" s="1855"/>
      <c r="H27" s="1855"/>
      <c r="I27" s="1855"/>
      <c r="J27" s="1855"/>
      <c r="K27" s="1855"/>
      <c r="L27" s="1855"/>
      <c r="M27" s="1855"/>
      <c r="N27" s="1855"/>
      <c r="O27" s="701"/>
      <c r="P27" s="701"/>
    </row>
    <row r="28" spans="1:16" s="687" customFormat="1" ht="15" customHeight="1">
      <c r="A28" s="689"/>
      <c r="B28" s="702" t="s">
        <v>3011</v>
      </c>
      <c r="C28" s="681"/>
      <c r="D28" s="681"/>
      <c r="E28" s="681"/>
      <c r="F28" s="681"/>
      <c r="G28" s="681"/>
      <c r="H28" s="681"/>
      <c r="I28" s="681"/>
      <c r="J28" s="681"/>
      <c r="K28" s="682"/>
      <c r="L28" s="681"/>
      <c r="M28" s="681"/>
      <c r="N28" s="681"/>
      <c r="O28" s="703"/>
      <c r="P28" s="704"/>
    </row>
    <row r="29" spans="1:16" s="687" customFormat="1" ht="15" customHeight="1">
      <c r="A29" s="700" t="s">
        <v>2891</v>
      </c>
      <c r="B29" s="680" t="s">
        <v>2976</v>
      </c>
      <c r="C29" s="681" t="s">
        <v>3014</v>
      </c>
      <c r="D29" s="681"/>
      <c r="E29" s="681"/>
      <c r="F29" s="681"/>
      <c r="G29" s="681"/>
      <c r="H29" s="681"/>
      <c r="I29" s="681"/>
      <c r="J29" s="681"/>
      <c r="K29" s="682"/>
      <c r="L29" s="683" t="s">
        <v>3328</v>
      </c>
      <c r="M29" s="681"/>
      <c r="N29" s="684"/>
      <c r="O29" s="685"/>
      <c r="P29" s="686" t="s">
        <v>28</v>
      </c>
    </row>
    <row r="30" spans="1:16" s="687" customFormat="1" ht="15" customHeight="1">
      <c r="A30" s="689"/>
      <c r="B30" s="702" t="s">
        <v>3016</v>
      </c>
      <c r="C30" s="681"/>
      <c r="D30" s="681"/>
      <c r="E30" s="681"/>
      <c r="F30" s="681"/>
      <c r="G30" s="681"/>
      <c r="H30" s="681"/>
      <c r="I30" s="681"/>
      <c r="J30" s="681"/>
      <c r="K30" s="682"/>
      <c r="L30" s="681"/>
      <c r="M30" s="681"/>
      <c r="N30" s="681"/>
      <c r="O30" s="703"/>
      <c r="P30" s="704"/>
    </row>
    <row r="31" spans="1:16" s="687" customFormat="1" ht="15" customHeight="1">
      <c r="A31" s="700" t="s">
        <v>2891</v>
      </c>
      <c r="B31" s="680" t="s">
        <v>2976</v>
      </c>
      <c r="C31" s="681" t="s">
        <v>3019</v>
      </c>
      <c r="D31" s="681"/>
      <c r="E31" s="681"/>
      <c r="F31" s="681"/>
      <c r="G31" s="681"/>
      <c r="H31" s="681"/>
      <c r="I31" s="681"/>
      <c r="J31" s="681"/>
      <c r="K31" s="682"/>
      <c r="L31" s="683" t="s">
        <v>3020</v>
      </c>
      <c r="M31" s="681"/>
      <c r="N31" s="684"/>
      <c r="O31" s="685"/>
      <c r="P31" s="686" t="s">
        <v>28</v>
      </c>
    </row>
    <row r="32" spans="1:16" s="687" customFormat="1" ht="15" customHeight="1">
      <c r="A32" s="689"/>
      <c r="B32" s="702" t="s">
        <v>3023</v>
      </c>
      <c r="C32" s="681"/>
      <c r="D32" s="681"/>
      <c r="E32" s="681"/>
      <c r="F32" s="681"/>
      <c r="G32" s="681"/>
      <c r="H32" s="681"/>
      <c r="I32" s="681"/>
      <c r="J32" s="681"/>
      <c r="K32" s="682"/>
      <c r="L32" s="681"/>
      <c r="M32" s="681"/>
      <c r="N32" s="681"/>
      <c r="O32" s="703"/>
      <c r="P32" s="704"/>
    </row>
    <row r="33" spans="1:18" s="687" customFormat="1" ht="15" customHeight="1">
      <c r="A33" s="700" t="s">
        <v>2891</v>
      </c>
      <c r="B33" s="680" t="s">
        <v>2976</v>
      </c>
      <c r="C33" s="681" t="s">
        <v>3025</v>
      </c>
      <c r="D33" s="681"/>
      <c r="E33" s="681"/>
      <c r="F33" s="681"/>
      <c r="G33" s="681"/>
      <c r="H33" s="681"/>
      <c r="I33" s="681"/>
      <c r="J33" s="681"/>
      <c r="K33" s="682"/>
      <c r="L33" s="683" t="s">
        <v>3026</v>
      </c>
      <c r="M33" s="681"/>
      <c r="N33" s="684"/>
      <c r="O33" s="685"/>
      <c r="P33" s="686" t="s">
        <v>28</v>
      </c>
    </row>
    <row r="34" spans="1:18" s="687" customFormat="1" ht="15" customHeight="1">
      <c r="A34" s="700" t="s">
        <v>2891</v>
      </c>
      <c r="B34" s="680" t="s">
        <v>2976</v>
      </c>
      <c r="C34" s="681" t="s">
        <v>3029</v>
      </c>
      <c r="D34" s="681"/>
      <c r="E34" s="681"/>
      <c r="F34" s="681"/>
      <c r="G34" s="681"/>
      <c r="H34" s="681"/>
      <c r="I34" s="681"/>
      <c r="J34" s="681"/>
      <c r="K34" s="682"/>
      <c r="L34" s="683"/>
      <c r="M34" s="681"/>
      <c r="N34" s="684"/>
      <c r="O34" s="685"/>
      <c r="P34" s="686" t="s">
        <v>28</v>
      </c>
    </row>
    <row r="35" spans="1:18" s="687" customFormat="1" ht="15" customHeight="1">
      <c r="A35" s="705"/>
      <c r="B35" s="682"/>
      <c r="C35" s="681"/>
      <c r="D35" s="681"/>
      <c r="E35" s="681"/>
      <c r="F35" s="681"/>
      <c r="G35" s="681"/>
      <c r="H35" s="681"/>
      <c r="I35" s="681"/>
      <c r="J35" s="681"/>
      <c r="K35" s="682"/>
      <c r="L35" s="681"/>
      <c r="M35" s="681"/>
      <c r="N35" s="681"/>
      <c r="O35" s="659"/>
      <c r="P35" s="659"/>
    </row>
    <row r="36" spans="1:18" s="687" customFormat="1" ht="15" customHeight="1">
      <c r="A36" s="1839" t="s">
        <v>3329</v>
      </c>
      <c r="B36" s="1840"/>
      <c r="C36" s="1840"/>
      <c r="D36" s="1840"/>
      <c r="E36" s="1840"/>
      <c r="F36" s="1840"/>
      <c r="G36" s="1840"/>
      <c r="H36" s="1840"/>
      <c r="I36" s="1840"/>
      <c r="J36" s="1840"/>
      <c r="K36" s="1840"/>
      <c r="L36" s="1840"/>
      <c r="M36" s="1840"/>
      <c r="N36" s="1840"/>
      <c r="O36" s="677"/>
      <c r="P36" s="678"/>
    </row>
    <row r="37" spans="1:18" s="687" customFormat="1" ht="15" customHeight="1">
      <c r="A37" s="679" t="s">
        <v>2891</v>
      </c>
      <c r="B37" s="680" t="s">
        <v>2979</v>
      </c>
      <c r="C37" s="681" t="s">
        <v>2980</v>
      </c>
      <c r="D37" s="681"/>
      <c r="E37" s="681"/>
      <c r="F37" s="681"/>
      <c r="G37" s="681"/>
      <c r="H37" s="681"/>
      <c r="I37" s="681"/>
      <c r="J37" s="681"/>
      <c r="K37" s="682"/>
      <c r="L37" s="681"/>
      <c r="M37" s="681"/>
      <c r="N37" s="684"/>
      <c r="O37" s="685"/>
      <c r="P37" s="686" t="s">
        <v>28</v>
      </c>
    </row>
    <row r="38" spans="1:18" s="687" customFormat="1" ht="15" customHeight="1">
      <c r="A38" s="688" t="s">
        <v>2897</v>
      </c>
      <c r="B38" s="689" t="s">
        <v>2979</v>
      </c>
      <c r="C38" s="706" t="s">
        <v>3330</v>
      </c>
      <c r="D38" s="707"/>
      <c r="E38" s="707"/>
      <c r="F38" s="707"/>
      <c r="G38" s="707"/>
      <c r="H38" s="707"/>
      <c r="I38" s="707"/>
      <c r="J38" s="707"/>
      <c r="K38" s="707"/>
      <c r="L38" s="707"/>
      <c r="M38" s="707"/>
      <c r="N38" s="708"/>
      <c r="O38" s="692"/>
      <c r="P38" s="693" t="s">
        <v>28</v>
      </c>
    </row>
    <row r="39" spans="1:18" s="687" customFormat="1" ht="15" customHeight="1">
      <c r="A39" s="694"/>
      <c r="B39" s="695"/>
      <c r="C39" s="709" t="s">
        <v>3065</v>
      </c>
      <c r="D39" s="710"/>
      <c r="E39" s="710"/>
      <c r="F39" s="710"/>
      <c r="G39" s="710"/>
      <c r="H39" s="710"/>
      <c r="I39" s="710"/>
      <c r="J39" s="710"/>
      <c r="K39" s="710"/>
      <c r="L39" s="710"/>
      <c r="M39" s="711"/>
      <c r="N39" s="712"/>
      <c r="O39" s="713"/>
      <c r="P39" s="714"/>
    </row>
    <row r="40" spans="1:18" s="687" customFormat="1" ht="15" customHeight="1">
      <c r="A40" s="705"/>
      <c r="B40" s="691"/>
      <c r="C40" s="715"/>
      <c r="D40" s="715"/>
      <c r="E40" s="715"/>
      <c r="F40" s="715"/>
      <c r="G40" s="715"/>
      <c r="H40" s="715"/>
      <c r="I40" s="715"/>
      <c r="J40" s="715"/>
      <c r="K40" s="691"/>
      <c r="L40" s="715"/>
      <c r="M40" s="715"/>
      <c r="N40" s="715"/>
      <c r="O40" s="659"/>
      <c r="P40" s="659"/>
    </row>
    <row r="41" spans="1:18" s="687" customFormat="1" ht="15" customHeight="1">
      <c r="A41" s="1839" t="s">
        <v>3331</v>
      </c>
      <c r="B41" s="1840"/>
      <c r="C41" s="1840"/>
      <c r="D41" s="1840"/>
      <c r="E41" s="1840"/>
      <c r="F41" s="1840"/>
      <c r="G41" s="1840"/>
      <c r="H41" s="1840"/>
      <c r="I41" s="1840"/>
      <c r="J41" s="1840"/>
      <c r="K41" s="1840"/>
      <c r="L41" s="1840"/>
      <c r="M41" s="1840"/>
      <c r="N41" s="1840"/>
      <c r="O41" s="677"/>
      <c r="P41" s="678"/>
    </row>
    <row r="42" spans="1:18" s="687" customFormat="1" ht="15" customHeight="1">
      <c r="A42" s="679" t="s">
        <v>2891</v>
      </c>
      <c r="B42" s="680" t="s">
        <v>2976</v>
      </c>
      <c r="C42" s="681" t="s">
        <v>3332</v>
      </c>
      <c r="D42" s="681"/>
      <c r="E42" s="681"/>
      <c r="F42" s="681"/>
      <c r="G42" s="681"/>
      <c r="H42" s="681"/>
      <c r="I42" s="681"/>
      <c r="J42" s="681"/>
      <c r="K42" s="681"/>
      <c r="L42" s="681"/>
      <c r="M42" s="681"/>
      <c r="N42" s="684"/>
      <c r="O42" s="685"/>
      <c r="P42" s="686" t="s">
        <v>28</v>
      </c>
    </row>
    <row r="43" spans="1:18" s="687" customFormat="1" ht="15" customHeight="1">
      <c r="A43" s="688" t="s">
        <v>2897</v>
      </c>
      <c r="B43" s="689" t="s">
        <v>2979</v>
      </c>
      <c r="C43" s="706" t="s">
        <v>3333</v>
      </c>
      <c r="D43" s="707"/>
      <c r="E43" s="707"/>
      <c r="F43" s="707"/>
      <c r="G43" s="707"/>
      <c r="H43" s="707"/>
      <c r="I43" s="707"/>
      <c r="J43" s="707"/>
      <c r="K43" s="707"/>
      <c r="L43" s="707"/>
      <c r="M43" s="707"/>
      <c r="N43" s="708"/>
      <c r="O43" s="692"/>
      <c r="P43" s="693" t="s">
        <v>28</v>
      </c>
    </row>
    <row r="44" spans="1:18" s="687" customFormat="1" ht="15" customHeight="1">
      <c r="A44" s="700"/>
      <c r="B44" s="701"/>
      <c r="C44" s="709" t="s">
        <v>3065</v>
      </c>
      <c r="D44" s="710"/>
      <c r="E44" s="710"/>
      <c r="F44" s="710"/>
      <c r="G44" s="710"/>
      <c r="H44" s="710"/>
      <c r="I44" s="710"/>
      <c r="J44" s="710"/>
      <c r="K44" s="710"/>
      <c r="L44" s="710"/>
      <c r="M44" s="711"/>
      <c r="N44" s="712"/>
      <c r="O44" s="714"/>
      <c r="P44" s="716"/>
    </row>
    <row r="45" spans="1:18" s="687" customFormat="1" ht="15" customHeight="1" thickBot="1">
      <c r="A45" s="717"/>
      <c r="C45" s="718"/>
      <c r="D45" s="719"/>
      <c r="E45" s="719"/>
      <c r="F45" s="719"/>
      <c r="G45" s="719"/>
      <c r="H45" s="719"/>
      <c r="I45" s="719"/>
      <c r="J45" s="719"/>
      <c r="K45" s="719"/>
      <c r="L45" s="719"/>
      <c r="M45" s="691"/>
      <c r="N45" s="691"/>
      <c r="O45" s="659"/>
      <c r="P45" s="659"/>
    </row>
    <row r="46" spans="1:18" s="687" customFormat="1" ht="15" customHeight="1" thickBot="1">
      <c r="A46" s="717"/>
      <c r="F46" s="720" t="s">
        <v>3066</v>
      </c>
      <c r="G46" s="1841" t="s">
        <v>3067</v>
      </c>
      <c r="H46" s="1842"/>
      <c r="I46" s="1842"/>
      <c r="J46" s="1842"/>
      <c r="K46" s="1842"/>
      <c r="L46" s="1842"/>
      <c r="M46" s="1842"/>
      <c r="N46" s="1842"/>
      <c r="O46" s="1842"/>
      <c r="P46" s="1843"/>
      <c r="Q46" s="721"/>
      <c r="R46" s="721"/>
    </row>
    <row r="47" spans="1:18" ht="15" customHeight="1"/>
    <row r="48" spans="1:18" s="723" customFormat="1" ht="15" customHeight="1">
      <c r="A48" s="722" t="s">
        <v>3058</v>
      </c>
      <c r="B48" s="723" t="s">
        <v>3334</v>
      </c>
      <c r="O48" s="722"/>
      <c r="P48" s="722"/>
    </row>
    <row r="49" spans="1:16" s="723" customFormat="1" ht="15" customHeight="1">
      <c r="B49" s="723" t="s">
        <v>3335</v>
      </c>
      <c r="O49" s="722"/>
      <c r="P49" s="722"/>
    </row>
    <row r="50" spans="1:16" s="723" customFormat="1" ht="15" customHeight="1">
      <c r="B50" s="723" t="s">
        <v>3069</v>
      </c>
      <c r="O50" s="722"/>
      <c r="P50" s="722"/>
    </row>
    <row r="51" spans="1:16" s="723" customFormat="1" ht="15" customHeight="1">
      <c r="B51" s="723" t="s">
        <v>3070</v>
      </c>
      <c r="O51" s="722"/>
      <c r="P51" s="722"/>
    </row>
    <row r="52" spans="1:16" ht="15" customHeight="1">
      <c r="A52" s="724" t="s">
        <v>3061</v>
      </c>
      <c r="B52" s="725" t="s">
        <v>3336</v>
      </c>
    </row>
    <row r="53" spans="1:16" s="723" customFormat="1" ht="12">
      <c r="O53" s="722"/>
      <c r="P53" s="722"/>
    </row>
  </sheetData>
  <mergeCells count="22">
    <mergeCell ref="A36:N36"/>
    <mergeCell ref="A41:N41"/>
    <mergeCell ref="G46:P46"/>
    <mergeCell ref="A14:N14"/>
    <mergeCell ref="C20:N20"/>
    <mergeCell ref="C22:N22"/>
    <mergeCell ref="C24:N25"/>
    <mergeCell ref="C26:N26"/>
    <mergeCell ref="C27:N27"/>
    <mergeCell ref="I9:K9"/>
    <mergeCell ref="M9:O9"/>
    <mergeCell ref="A11:P11"/>
    <mergeCell ref="A12:A13"/>
    <mergeCell ref="B12:N13"/>
    <mergeCell ref="O12:O13"/>
    <mergeCell ref="P12:P13"/>
    <mergeCell ref="K1:P1"/>
    <mergeCell ref="J2:P2"/>
    <mergeCell ref="A4:P5"/>
    <mergeCell ref="A6:P6"/>
    <mergeCell ref="I8:K8"/>
    <mergeCell ref="M8:O8"/>
  </mergeCells>
  <phoneticPr fontId="139"/>
  <hyperlinks>
    <hyperlink ref="G46" r:id="rId1" xr:uid="{00000000-0004-0000-1A00-000000000000}"/>
  </hyperlinks>
  <pageMargins left="0.59055118110236227" right="0.59055118110236227" top="0.19685039370078741" bottom="0.19685039370078741" header="0.59055118110236227" footer="2.3622047244094491"/>
  <pageSetup paperSize="9"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
              <controlPr defaultSize="0" autoFill="0" autoLine="0" autoPict="0" altText="">
                <anchor moveWithCells="1">
                  <from>
                    <xdr:col>14</xdr:col>
                    <xdr:colOff>76200</xdr:colOff>
                    <xdr:row>13</xdr:row>
                    <xdr:rowOff>209550</xdr:rowOff>
                  </from>
                  <to>
                    <xdr:col>14</xdr:col>
                    <xdr:colOff>381000</xdr:colOff>
                    <xdr:row>15</xdr:row>
                    <xdr:rowOff>0</xdr:rowOff>
                  </to>
                </anchor>
              </controlPr>
            </control>
          </mc:Choice>
        </mc:AlternateContent>
        <mc:AlternateContent xmlns:mc="http://schemas.openxmlformats.org/markup-compatibility/2006">
          <mc:Choice Requires="x14">
            <control shapeId="47106" r:id="rId6" name="Check Box 2">
              <controlPr defaultSize="0" autoFill="0" autoLine="0" autoPict="0" altText="">
                <anchor moveWithCells="1">
                  <from>
                    <xdr:col>14</xdr:col>
                    <xdr:colOff>76200</xdr:colOff>
                    <xdr:row>16</xdr:row>
                    <xdr:rowOff>19050</xdr:rowOff>
                  </from>
                  <to>
                    <xdr:col>14</xdr:col>
                    <xdr:colOff>381000</xdr:colOff>
                    <xdr:row>17</xdr:row>
                    <xdr:rowOff>38100</xdr:rowOff>
                  </to>
                </anchor>
              </controlPr>
            </control>
          </mc:Choice>
        </mc:AlternateContent>
        <mc:AlternateContent xmlns:mc="http://schemas.openxmlformats.org/markup-compatibility/2006">
          <mc:Choice Requires="x14">
            <control shapeId="47107" r:id="rId7" name="Check Box 3">
              <controlPr defaultSize="0" autoFill="0" autoLine="0" autoPict="0" altText="">
                <anchor moveWithCells="1">
                  <from>
                    <xdr:col>14</xdr:col>
                    <xdr:colOff>76200</xdr:colOff>
                    <xdr:row>17</xdr:row>
                    <xdr:rowOff>19050</xdr:rowOff>
                  </from>
                  <to>
                    <xdr:col>14</xdr:col>
                    <xdr:colOff>381000</xdr:colOff>
                    <xdr:row>18</xdr:row>
                    <xdr:rowOff>38100</xdr:rowOff>
                  </to>
                </anchor>
              </controlPr>
            </control>
          </mc:Choice>
        </mc:AlternateContent>
        <mc:AlternateContent xmlns:mc="http://schemas.openxmlformats.org/markup-compatibility/2006">
          <mc:Choice Requires="x14">
            <control shapeId="47108" r:id="rId8" name="Check Box 4">
              <controlPr defaultSize="0" autoFill="0" autoLine="0" autoPict="0" altText="">
                <anchor moveWithCells="1">
                  <from>
                    <xdr:col>14</xdr:col>
                    <xdr:colOff>76200</xdr:colOff>
                    <xdr:row>15</xdr:row>
                    <xdr:rowOff>19050</xdr:rowOff>
                  </from>
                  <to>
                    <xdr:col>14</xdr:col>
                    <xdr:colOff>381000</xdr:colOff>
                    <xdr:row>16</xdr:row>
                    <xdr:rowOff>38100</xdr:rowOff>
                  </to>
                </anchor>
              </controlPr>
            </control>
          </mc:Choice>
        </mc:AlternateContent>
        <mc:AlternateContent xmlns:mc="http://schemas.openxmlformats.org/markup-compatibility/2006">
          <mc:Choice Requires="x14">
            <control shapeId="47109" r:id="rId9" name="Check Box 5">
              <controlPr defaultSize="0" autoFill="0" autoLine="0" autoPict="0" altText="">
                <anchor moveWithCells="1">
                  <from>
                    <xdr:col>14</xdr:col>
                    <xdr:colOff>76200</xdr:colOff>
                    <xdr:row>18</xdr:row>
                    <xdr:rowOff>19050</xdr:rowOff>
                  </from>
                  <to>
                    <xdr:col>14</xdr:col>
                    <xdr:colOff>381000</xdr:colOff>
                    <xdr:row>19</xdr:row>
                    <xdr:rowOff>38100</xdr:rowOff>
                  </to>
                </anchor>
              </controlPr>
            </control>
          </mc:Choice>
        </mc:AlternateContent>
        <mc:AlternateContent xmlns:mc="http://schemas.openxmlformats.org/markup-compatibility/2006">
          <mc:Choice Requires="x14">
            <control shapeId="47110" r:id="rId10" name="Check Box 6">
              <controlPr defaultSize="0" autoFill="0" autoLine="0" autoPict="0" altText="">
                <anchor moveWithCells="1">
                  <from>
                    <xdr:col>14</xdr:col>
                    <xdr:colOff>76200</xdr:colOff>
                    <xdr:row>28</xdr:row>
                    <xdr:rowOff>19050</xdr:rowOff>
                  </from>
                  <to>
                    <xdr:col>14</xdr:col>
                    <xdr:colOff>381000</xdr:colOff>
                    <xdr:row>29</xdr:row>
                    <xdr:rowOff>38100</xdr:rowOff>
                  </to>
                </anchor>
              </controlPr>
            </control>
          </mc:Choice>
        </mc:AlternateContent>
        <mc:AlternateContent xmlns:mc="http://schemas.openxmlformats.org/markup-compatibility/2006">
          <mc:Choice Requires="x14">
            <control shapeId="47111" r:id="rId11" name="Check Box 7">
              <controlPr defaultSize="0" autoFill="0" autoLine="0" autoPict="0" altText="">
                <anchor moveWithCells="1">
                  <from>
                    <xdr:col>14</xdr:col>
                    <xdr:colOff>76200</xdr:colOff>
                    <xdr:row>30</xdr:row>
                    <xdr:rowOff>19050</xdr:rowOff>
                  </from>
                  <to>
                    <xdr:col>14</xdr:col>
                    <xdr:colOff>381000</xdr:colOff>
                    <xdr:row>31</xdr:row>
                    <xdr:rowOff>38100</xdr:rowOff>
                  </to>
                </anchor>
              </controlPr>
            </control>
          </mc:Choice>
        </mc:AlternateContent>
        <mc:AlternateContent xmlns:mc="http://schemas.openxmlformats.org/markup-compatibility/2006">
          <mc:Choice Requires="x14">
            <control shapeId="47112" r:id="rId12" name="Check Box 8">
              <controlPr defaultSize="0" autoFill="0" autoLine="0" autoPict="0" altText="">
                <anchor moveWithCells="1">
                  <from>
                    <xdr:col>14</xdr:col>
                    <xdr:colOff>76200</xdr:colOff>
                    <xdr:row>32</xdr:row>
                    <xdr:rowOff>19050</xdr:rowOff>
                  </from>
                  <to>
                    <xdr:col>14</xdr:col>
                    <xdr:colOff>381000</xdr:colOff>
                    <xdr:row>33</xdr:row>
                    <xdr:rowOff>38100</xdr:rowOff>
                  </to>
                </anchor>
              </controlPr>
            </control>
          </mc:Choice>
        </mc:AlternateContent>
        <mc:AlternateContent xmlns:mc="http://schemas.openxmlformats.org/markup-compatibility/2006">
          <mc:Choice Requires="x14">
            <control shapeId="47113" r:id="rId13" name="Check Box 9">
              <controlPr defaultSize="0" autoFill="0" autoLine="0" autoPict="0" altText="">
                <anchor moveWithCells="1">
                  <from>
                    <xdr:col>14</xdr:col>
                    <xdr:colOff>76200</xdr:colOff>
                    <xdr:row>33</xdr:row>
                    <xdr:rowOff>19050</xdr:rowOff>
                  </from>
                  <to>
                    <xdr:col>14</xdr:col>
                    <xdr:colOff>381000</xdr:colOff>
                    <xdr:row>34</xdr:row>
                    <xdr:rowOff>38100</xdr:rowOff>
                  </to>
                </anchor>
              </controlPr>
            </control>
          </mc:Choice>
        </mc:AlternateContent>
        <mc:AlternateContent xmlns:mc="http://schemas.openxmlformats.org/markup-compatibility/2006">
          <mc:Choice Requires="x14">
            <control shapeId="47114" r:id="rId14" name="Check Box 10">
              <controlPr defaultSize="0" autoFill="0" autoLine="0" autoPict="0" altText="">
                <anchor moveWithCells="1">
                  <from>
                    <xdr:col>14</xdr:col>
                    <xdr:colOff>76200</xdr:colOff>
                    <xdr:row>36</xdr:row>
                    <xdr:rowOff>19050</xdr:rowOff>
                  </from>
                  <to>
                    <xdr:col>14</xdr:col>
                    <xdr:colOff>381000</xdr:colOff>
                    <xdr:row>37</xdr:row>
                    <xdr:rowOff>38100</xdr:rowOff>
                  </to>
                </anchor>
              </controlPr>
            </control>
          </mc:Choice>
        </mc:AlternateContent>
        <mc:AlternateContent xmlns:mc="http://schemas.openxmlformats.org/markup-compatibility/2006">
          <mc:Choice Requires="x14">
            <control shapeId="47115" r:id="rId15" name="Check Box 11">
              <controlPr defaultSize="0" autoFill="0" autoLine="0" autoPict="0" altText="">
                <anchor moveWithCells="1">
                  <from>
                    <xdr:col>14</xdr:col>
                    <xdr:colOff>76200</xdr:colOff>
                    <xdr:row>37</xdr:row>
                    <xdr:rowOff>0</xdr:rowOff>
                  </from>
                  <to>
                    <xdr:col>14</xdr:col>
                    <xdr:colOff>381000</xdr:colOff>
                    <xdr:row>38</xdr:row>
                    <xdr:rowOff>19050</xdr:rowOff>
                  </to>
                </anchor>
              </controlPr>
            </control>
          </mc:Choice>
        </mc:AlternateContent>
        <mc:AlternateContent xmlns:mc="http://schemas.openxmlformats.org/markup-compatibility/2006">
          <mc:Choice Requires="x14">
            <control shapeId="47116" r:id="rId16" name="Check Box 12">
              <controlPr defaultSize="0" autoFill="0" autoLine="0" autoPict="0" altText="">
                <anchor moveWithCells="1">
                  <from>
                    <xdr:col>14</xdr:col>
                    <xdr:colOff>76200</xdr:colOff>
                    <xdr:row>41</xdr:row>
                    <xdr:rowOff>19050</xdr:rowOff>
                  </from>
                  <to>
                    <xdr:col>14</xdr:col>
                    <xdr:colOff>381000</xdr:colOff>
                    <xdr:row>42</xdr:row>
                    <xdr:rowOff>38100</xdr:rowOff>
                  </to>
                </anchor>
              </controlPr>
            </control>
          </mc:Choice>
        </mc:AlternateContent>
        <mc:AlternateContent xmlns:mc="http://schemas.openxmlformats.org/markup-compatibility/2006">
          <mc:Choice Requires="x14">
            <control shapeId="47117" r:id="rId17" name="Check Box 13">
              <controlPr defaultSize="0" autoFill="0" autoLine="0" autoPict="0" altText="">
                <anchor moveWithCells="1">
                  <from>
                    <xdr:col>14</xdr:col>
                    <xdr:colOff>76200</xdr:colOff>
                    <xdr:row>42</xdr:row>
                    <xdr:rowOff>0</xdr:rowOff>
                  </from>
                  <to>
                    <xdr:col>14</xdr:col>
                    <xdr:colOff>381000</xdr:colOff>
                    <xdr:row>43</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workbookViewId="0">
      <selection activeCell="D6" sqref="D6"/>
    </sheetView>
  </sheetViews>
  <sheetFormatPr defaultColWidth="9" defaultRowHeight="13.5"/>
  <cols>
    <col min="1" max="1" width="16.125" customWidth="1"/>
    <col min="4" max="4" width="16.875" style="930" customWidth="1"/>
    <col min="5" max="5" width="14.75" customWidth="1"/>
    <col min="6" max="7" width="24.875" customWidth="1"/>
    <col min="8" max="8" width="35.25" customWidth="1"/>
  </cols>
  <sheetData>
    <row r="1" spans="1:8">
      <c r="A1" s="14" t="s">
        <v>3643</v>
      </c>
      <c r="B1" s="14"/>
      <c r="C1" s="14"/>
      <c r="D1" s="915"/>
      <c r="E1" s="14"/>
      <c r="F1" s="14"/>
      <c r="G1" s="14"/>
    </row>
    <row r="2" spans="1:8">
      <c r="A2" s="916" t="s">
        <v>3644</v>
      </c>
      <c r="B2" s="916"/>
      <c r="C2" s="916" t="s">
        <v>3645</v>
      </c>
      <c r="D2" s="917" t="s">
        <v>3646</v>
      </c>
      <c r="E2" s="916" t="s">
        <v>3647</v>
      </c>
      <c r="F2" s="916" t="s">
        <v>18</v>
      </c>
      <c r="G2" s="916" t="s">
        <v>3648</v>
      </c>
      <c r="H2" s="176" t="s">
        <v>3649</v>
      </c>
    </row>
    <row r="3" spans="1:8">
      <c r="A3" s="916" t="s">
        <v>3650</v>
      </c>
      <c r="B3" s="916"/>
      <c r="C3" s="916">
        <v>1</v>
      </c>
      <c r="D3" s="918">
        <v>37377</v>
      </c>
      <c r="E3" s="916"/>
      <c r="F3" s="919" t="s">
        <v>2978</v>
      </c>
      <c r="G3" s="916" t="s">
        <v>3651</v>
      </c>
      <c r="H3" s="176"/>
    </row>
    <row r="4" spans="1:8">
      <c r="A4" s="916"/>
      <c r="B4" s="916"/>
      <c r="C4" s="916">
        <v>2</v>
      </c>
      <c r="D4" s="918">
        <v>43280</v>
      </c>
      <c r="E4" s="916"/>
      <c r="F4" s="919" t="s">
        <v>2978</v>
      </c>
      <c r="G4" s="916" t="s">
        <v>3652</v>
      </c>
      <c r="H4" s="176"/>
    </row>
    <row r="5" spans="1:8">
      <c r="A5" s="916"/>
      <c r="B5" s="916"/>
      <c r="C5" s="916">
        <v>3</v>
      </c>
      <c r="D5" s="917">
        <v>44375</v>
      </c>
      <c r="E5" s="916"/>
      <c r="F5" s="919" t="s">
        <v>2978</v>
      </c>
      <c r="G5" s="916" t="s">
        <v>3653</v>
      </c>
    </row>
    <row r="6" spans="1:8">
      <c r="A6" s="916"/>
      <c r="B6" s="916"/>
      <c r="C6" s="916">
        <v>4</v>
      </c>
      <c r="D6" s="917"/>
      <c r="E6" s="916"/>
      <c r="F6" s="919"/>
      <c r="G6" s="916"/>
    </row>
    <row r="7" spans="1:8">
      <c r="A7" s="916"/>
      <c r="B7" s="916"/>
      <c r="C7" s="916">
        <v>5</v>
      </c>
      <c r="D7" s="917"/>
      <c r="E7" s="916"/>
      <c r="F7" s="919"/>
      <c r="G7" s="916"/>
    </row>
    <row r="8" spans="1:8">
      <c r="A8" s="916"/>
      <c r="B8" s="916"/>
      <c r="C8" s="916">
        <v>6</v>
      </c>
      <c r="D8" s="917"/>
      <c r="E8" s="916"/>
      <c r="F8" s="919"/>
      <c r="G8" s="916"/>
    </row>
    <row r="9" spans="1:8">
      <c r="A9" s="916"/>
      <c r="B9" s="916"/>
      <c r="C9" s="916">
        <v>7</v>
      </c>
      <c r="D9" s="917"/>
      <c r="E9" s="916"/>
      <c r="F9" s="919"/>
      <c r="G9" s="916"/>
    </row>
    <row r="10" spans="1:8">
      <c r="A10" s="916"/>
      <c r="B10" s="916"/>
      <c r="C10" s="916">
        <v>8</v>
      </c>
      <c r="D10" s="917"/>
      <c r="E10" s="916"/>
      <c r="F10" s="919"/>
      <c r="G10" s="916"/>
    </row>
    <row r="11" spans="1:8">
      <c r="A11" s="916"/>
      <c r="B11" s="916"/>
      <c r="C11" s="916">
        <v>9</v>
      </c>
      <c r="D11" s="917"/>
      <c r="E11" s="916"/>
      <c r="F11" s="919"/>
      <c r="G11" s="916"/>
    </row>
    <row r="12" spans="1:8">
      <c r="A12" s="916"/>
      <c r="B12" s="916"/>
      <c r="C12" s="916">
        <v>10</v>
      </c>
      <c r="D12" s="917"/>
      <c r="E12" s="916"/>
      <c r="F12" s="919"/>
      <c r="G12" s="916"/>
    </row>
    <row r="16" spans="1:8">
      <c r="A16" s="920" t="s">
        <v>3654</v>
      </c>
      <c r="B16" s="921"/>
      <c r="C16" s="921"/>
      <c r="D16" s="922"/>
      <c r="E16" s="920" t="s">
        <v>3655</v>
      </c>
      <c r="F16" s="921"/>
      <c r="G16" s="923"/>
    </row>
    <row r="17" spans="1:8">
      <c r="A17" s="175" t="s">
        <v>3656</v>
      </c>
      <c r="B17" s="924" t="s">
        <v>3657</v>
      </c>
      <c r="C17" s="175" t="s">
        <v>3658</v>
      </c>
      <c r="D17" s="925" t="s">
        <v>2430</v>
      </c>
      <c r="E17" s="175" t="s">
        <v>3647</v>
      </c>
      <c r="F17" s="175" t="s">
        <v>18</v>
      </c>
      <c r="G17" s="175" t="s">
        <v>3648</v>
      </c>
      <c r="H17" t="s">
        <v>3659</v>
      </c>
    </row>
    <row r="18" spans="1:8">
      <c r="A18" s="926" t="s">
        <v>391</v>
      </c>
      <c r="B18" s="926">
        <f ca="1">C18</f>
        <v>3</v>
      </c>
      <c r="C18" s="926">
        <f ca="1">IF(ISNA(MATCH(D18,$D$3:$D$12,0)),MATCH(D18,$D$3:$D$12,1),MATCH(D18,$D$3:$D$12,0))</f>
        <v>3</v>
      </c>
      <c r="D18" s="927">
        <f ca="1">IF(wskakunin_SHINSEI_DATE="",TODAY(),wskakunin_SHINSEI_DATE)</f>
        <v>45748</v>
      </c>
      <c r="E18" s="928" t="str">
        <f ca="1">IF(OFFSET(dAName!$E$2,dAName!B18,0,1,1)="","",OFFSET(dAName!$E$2,dAName!B18,0,1,1))</f>
        <v/>
      </c>
      <c r="F18" s="928" t="str">
        <f ca="1">IF(OFFSET(dAName!$F$2,dAName!$B18,0,1,1)="","",OFFSET(dAName!$F$2,dAName!$B18,0,1,1))</f>
        <v>一般財団法人　岩手県建築住宅センター</v>
      </c>
      <c r="G18" s="928" t="str">
        <f ca="1">IF(OFFSET(dAName!$G$2,dAName!$B18,0,1,1)="","",OFFSET(dAName!$G$2,dAName!$B18,0,1,1))</f>
        <v>理事長　　渡 邊 健 治</v>
      </c>
      <c r="H18" s="929" t="str">
        <f ca="1">IF(OFFSET(dAName!$H$2,dAName!$B18,0,1,1)="","",OFFSET(dAName!$H$2,dAName!$B18,0,1,1))</f>
        <v/>
      </c>
    </row>
    <row r="19" spans="1:8">
      <c r="A19" s="926"/>
      <c r="B19" s="926"/>
      <c r="C19" s="926"/>
      <c r="D19" s="927"/>
      <c r="E19" s="926"/>
      <c r="F19" s="926"/>
      <c r="G19" s="926"/>
    </row>
    <row r="23" spans="1:8">
      <c r="E23" s="931"/>
    </row>
  </sheetData>
  <phoneticPr fontId="13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5117038483843"/>
    <pageSetUpPr fitToPage="1"/>
  </sheetPr>
  <dimension ref="A1:T50"/>
  <sheetViews>
    <sheetView zoomScaleNormal="100" workbookViewId="0"/>
  </sheetViews>
  <sheetFormatPr defaultColWidth="9" defaultRowHeight="18" customHeight="1"/>
  <cols>
    <col min="1" max="1" width="1.625" style="656" customWidth="1"/>
    <col min="2" max="2" width="10.625" style="656" customWidth="1"/>
    <col min="3" max="15" width="5.375" style="656" customWidth="1"/>
    <col min="16" max="17" width="5.75" style="659" customWidth="1"/>
    <col min="18" max="18" width="1.625" style="656" customWidth="1"/>
    <col min="19" max="256" width="9" style="656" customWidth="1"/>
    <col min="257" max="257" width="1.625" style="656" customWidth="1"/>
    <col min="258" max="258" width="10.625" style="656" customWidth="1"/>
    <col min="259" max="271" width="5.375" style="656" customWidth="1"/>
    <col min="272" max="273" width="5.75" style="656" customWidth="1"/>
    <col min="274" max="274" width="1.625" style="656" customWidth="1"/>
    <col min="275" max="512" width="9" style="656" customWidth="1"/>
    <col min="513" max="513" width="1.625" style="656" customWidth="1"/>
    <col min="514" max="514" width="10.625" style="656" customWidth="1"/>
    <col min="515" max="527" width="5.375" style="656" customWidth="1"/>
    <col min="528" max="529" width="5.75" style="656" customWidth="1"/>
    <col min="530" max="530" width="1.625" style="656" customWidth="1"/>
    <col min="531" max="768" width="9" style="656" customWidth="1"/>
    <col min="769" max="769" width="1.625" style="656" customWidth="1"/>
    <col min="770" max="770" width="10.625" style="656" customWidth="1"/>
    <col min="771" max="783" width="5.375" style="656" customWidth="1"/>
    <col min="784" max="785" width="5.75" style="656" customWidth="1"/>
    <col min="786" max="786" width="1.625" style="656" customWidth="1"/>
    <col min="787" max="1024" width="9" style="656" customWidth="1"/>
    <col min="1025" max="1025" width="1.625" style="656" customWidth="1"/>
    <col min="1026" max="1026" width="10.625" style="656" customWidth="1"/>
    <col min="1027" max="1039" width="5.375" style="656" customWidth="1"/>
    <col min="1040" max="1041" width="5.75" style="656" customWidth="1"/>
    <col min="1042" max="1042" width="1.625" style="656" customWidth="1"/>
    <col min="1043" max="1280" width="9" style="656" customWidth="1"/>
    <col min="1281" max="1281" width="1.625" style="656" customWidth="1"/>
    <col min="1282" max="1282" width="10.625" style="656" customWidth="1"/>
    <col min="1283" max="1295" width="5.375" style="656" customWidth="1"/>
    <col min="1296" max="1297" width="5.75" style="656" customWidth="1"/>
    <col min="1298" max="1298" width="1.625" style="656" customWidth="1"/>
    <col min="1299" max="1536" width="9" style="656" customWidth="1"/>
    <col min="1537" max="1537" width="1.625" style="656" customWidth="1"/>
    <col min="1538" max="1538" width="10.625" style="656" customWidth="1"/>
    <col min="1539" max="1551" width="5.375" style="656" customWidth="1"/>
    <col min="1552" max="1553" width="5.75" style="656" customWidth="1"/>
    <col min="1554" max="1554" width="1.625" style="656" customWidth="1"/>
    <col min="1555" max="1792" width="9" style="656" customWidth="1"/>
    <col min="1793" max="1793" width="1.625" style="656" customWidth="1"/>
    <col min="1794" max="1794" width="10.625" style="656" customWidth="1"/>
    <col min="1795" max="1807" width="5.375" style="656" customWidth="1"/>
    <col min="1808" max="1809" width="5.75" style="656" customWidth="1"/>
    <col min="1810" max="1810" width="1.625" style="656" customWidth="1"/>
    <col min="1811" max="2048" width="9" style="656" customWidth="1"/>
    <col min="2049" max="2049" width="1.625" style="656" customWidth="1"/>
    <col min="2050" max="2050" width="10.625" style="656" customWidth="1"/>
    <col min="2051" max="2063" width="5.375" style="656" customWidth="1"/>
    <col min="2064" max="2065" width="5.75" style="656" customWidth="1"/>
    <col min="2066" max="2066" width="1.625" style="656" customWidth="1"/>
    <col min="2067" max="2304" width="9" style="656" customWidth="1"/>
    <col min="2305" max="2305" width="1.625" style="656" customWidth="1"/>
    <col min="2306" max="2306" width="10.625" style="656" customWidth="1"/>
    <col min="2307" max="2319" width="5.375" style="656" customWidth="1"/>
    <col min="2320" max="2321" width="5.75" style="656" customWidth="1"/>
    <col min="2322" max="2322" width="1.625" style="656" customWidth="1"/>
    <col min="2323" max="2560" width="9" style="656" customWidth="1"/>
    <col min="2561" max="2561" width="1.625" style="656" customWidth="1"/>
    <col min="2562" max="2562" width="10.625" style="656" customWidth="1"/>
    <col min="2563" max="2575" width="5.375" style="656" customWidth="1"/>
    <col min="2576" max="2577" width="5.75" style="656" customWidth="1"/>
    <col min="2578" max="2578" width="1.625" style="656" customWidth="1"/>
    <col min="2579" max="2816" width="9" style="656" customWidth="1"/>
    <col min="2817" max="2817" width="1.625" style="656" customWidth="1"/>
    <col min="2818" max="2818" width="10.625" style="656" customWidth="1"/>
    <col min="2819" max="2831" width="5.375" style="656" customWidth="1"/>
    <col min="2832" max="2833" width="5.75" style="656" customWidth="1"/>
    <col min="2834" max="2834" width="1.625" style="656" customWidth="1"/>
    <col min="2835" max="3072" width="9" style="656" customWidth="1"/>
    <col min="3073" max="3073" width="1.625" style="656" customWidth="1"/>
    <col min="3074" max="3074" width="10.625" style="656" customWidth="1"/>
    <col min="3075" max="3087" width="5.375" style="656" customWidth="1"/>
    <col min="3088" max="3089" width="5.75" style="656" customWidth="1"/>
    <col min="3090" max="3090" width="1.625" style="656" customWidth="1"/>
    <col min="3091" max="3328" width="9" style="656" customWidth="1"/>
    <col min="3329" max="3329" width="1.625" style="656" customWidth="1"/>
    <col min="3330" max="3330" width="10.625" style="656" customWidth="1"/>
    <col min="3331" max="3343" width="5.375" style="656" customWidth="1"/>
    <col min="3344" max="3345" width="5.75" style="656" customWidth="1"/>
    <col min="3346" max="3346" width="1.625" style="656" customWidth="1"/>
    <col min="3347" max="3584" width="9" style="656" customWidth="1"/>
    <col min="3585" max="3585" width="1.625" style="656" customWidth="1"/>
    <col min="3586" max="3586" width="10.625" style="656" customWidth="1"/>
    <col min="3587" max="3599" width="5.375" style="656" customWidth="1"/>
    <col min="3600" max="3601" width="5.75" style="656" customWidth="1"/>
    <col min="3602" max="3602" width="1.625" style="656" customWidth="1"/>
    <col min="3603" max="3840" width="9" style="656" customWidth="1"/>
    <col min="3841" max="3841" width="1.625" style="656" customWidth="1"/>
    <col min="3842" max="3842" width="10.625" style="656" customWidth="1"/>
    <col min="3843" max="3855" width="5.375" style="656" customWidth="1"/>
    <col min="3856" max="3857" width="5.75" style="656" customWidth="1"/>
    <col min="3858" max="3858" width="1.625" style="656" customWidth="1"/>
    <col min="3859" max="4096" width="9" style="656" customWidth="1"/>
    <col min="4097" max="4097" width="1.625" style="656" customWidth="1"/>
    <col min="4098" max="4098" width="10.625" style="656" customWidth="1"/>
    <col min="4099" max="4111" width="5.375" style="656" customWidth="1"/>
    <col min="4112" max="4113" width="5.75" style="656" customWidth="1"/>
    <col min="4114" max="4114" width="1.625" style="656" customWidth="1"/>
    <col min="4115" max="4352" width="9" style="656" customWidth="1"/>
    <col min="4353" max="4353" width="1.625" style="656" customWidth="1"/>
    <col min="4354" max="4354" width="10.625" style="656" customWidth="1"/>
    <col min="4355" max="4367" width="5.375" style="656" customWidth="1"/>
    <col min="4368" max="4369" width="5.75" style="656" customWidth="1"/>
    <col min="4370" max="4370" width="1.625" style="656" customWidth="1"/>
    <col min="4371" max="4608" width="9" style="656" customWidth="1"/>
    <col min="4609" max="4609" width="1.625" style="656" customWidth="1"/>
    <col min="4610" max="4610" width="10.625" style="656" customWidth="1"/>
    <col min="4611" max="4623" width="5.375" style="656" customWidth="1"/>
    <col min="4624" max="4625" width="5.75" style="656" customWidth="1"/>
    <col min="4626" max="4626" width="1.625" style="656" customWidth="1"/>
    <col min="4627" max="4864" width="9" style="656" customWidth="1"/>
    <col min="4865" max="4865" width="1.625" style="656" customWidth="1"/>
    <col min="4866" max="4866" width="10.625" style="656" customWidth="1"/>
    <col min="4867" max="4879" width="5.375" style="656" customWidth="1"/>
    <col min="4880" max="4881" width="5.75" style="656" customWidth="1"/>
    <col min="4882" max="4882" width="1.625" style="656" customWidth="1"/>
    <col min="4883" max="5120" width="9" style="656" customWidth="1"/>
    <col min="5121" max="5121" width="1.625" style="656" customWidth="1"/>
    <col min="5122" max="5122" width="10.625" style="656" customWidth="1"/>
    <col min="5123" max="5135" width="5.375" style="656" customWidth="1"/>
    <col min="5136" max="5137" width="5.75" style="656" customWidth="1"/>
    <col min="5138" max="5138" width="1.625" style="656" customWidth="1"/>
    <col min="5139" max="5376" width="9" style="656" customWidth="1"/>
    <col min="5377" max="5377" width="1.625" style="656" customWidth="1"/>
    <col min="5378" max="5378" width="10.625" style="656" customWidth="1"/>
    <col min="5379" max="5391" width="5.375" style="656" customWidth="1"/>
    <col min="5392" max="5393" width="5.75" style="656" customWidth="1"/>
    <col min="5394" max="5394" width="1.625" style="656" customWidth="1"/>
    <col min="5395" max="5632" width="9" style="656" customWidth="1"/>
    <col min="5633" max="5633" width="1.625" style="656" customWidth="1"/>
    <col min="5634" max="5634" width="10.625" style="656" customWidth="1"/>
    <col min="5635" max="5647" width="5.375" style="656" customWidth="1"/>
    <col min="5648" max="5649" width="5.75" style="656" customWidth="1"/>
    <col min="5650" max="5650" width="1.625" style="656" customWidth="1"/>
    <col min="5651" max="5888" width="9" style="656" customWidth="1"/>
    <col min="5889" max="5889" width="1.625" style="656" customWidth="1"/>
    <col min="5890" max="5890" width="10.625" style="656" customWidth="1"/>
    <col min="5891" max="5903" width="5.375" style="656" customWidth="1"/>
    <col min="5904" max="5905" width="5.75" style="656" customWidth="1"/>
    <col min="5906" max="5906" width="1.625" style="656" customWidth="1"/>
    <col min="5907" max="6144" width="9" style="656" customWidth="1"/>
    <col min="6145" max="6145" width="1.625" style="656" customWidth="1"/>
    <col min="6146" max="6146" width="10.625" style="656" customWidth="1"/>
    <col min="6147" max="6159" width="5.375" style="656" customWidth="1"/>
    <col min="6160" max="6161" width="5.75" style="656" customWidth="1"/>
    <col min="6162" max="6162" width="1.625" style="656" customWidth="1"/>
    <col min="6163" max="6400" width="9" style="656" customWidth="1"/>
    <col min="6401" max="6401" width="1.625" style="656" customWidth="1"/>
    <col min="6402" max="6402" width="10.625" style="656" customWidth="1"/>
    <col min="6403" max="6415" width="5.375" style="656" customWidth="1"/>
    <col min="6416" max="6417" width="5.75" style="656" customWidth="1"/>
    <col min="6418" max="6418" width="1.625" style="656" customWidth="1"/>
    <col min="6419" max="6656" width="9" style="656" customWidth="1"/>
    <col min="6657" max="6657" width="1.625" style="656" customWidth="1"/>
    <col min="6658" max="6658" width="10.625" style="656" customWidth="1"/>
    <col min="6659" max="6671" width="5.375" style="656" customWidth="1"/>
    <col min="6672" max="6673" width="5.75" style="656" customWidth="1"/>
    <col min="6674" max="6674" width="1.625" style="656" customWidth="1"/>
    <col min="6675" max="6912" width="9" style="656" customWidth="1"/>
    <col min="6913" max="6913" width="1.625" style="656" customWidth="1"/>
    <col min="6914" max="6914" width="10.625" style="656" customWidth="1"/>
    <col min="6915" max="6927" width="5.375" style="656" customWidth="1"/>
    <col min="6928" max="6929" width="5.75" style="656" customWidth="1"/>
    <col min="6930" max="6930" width="1.625" style="656" customWidth="1"/>
    <col min="6931" max="7168" width="9" style="656" customWidth="1"/>
    <col min="7169" max="7169" width="1.625" style="656" customWidth="1"/>
    <col min="7170" max="7170" width="10.625" style="656" customWidth="1"/>
    <col min="7171" max="7183" width="5.375" style="656" customWidth="1"/>
    <col min="7184" max="7185" width="5.75" style="656" customWidth="1"/>
    <col min="7186" max="7186" width="1.625" style="656" customWidth="1"/>
    <col min="7187" max="7424" width="9" style="656" customWidth="1"/>
    <col min="7425" max="7425" width="1.625" style="656" customWidth="1"/>
    <col min="7426" max="7426" width="10.625" style="656" customWidth="1"/>
    <col min="7427" max="7439" width="5.375" style="656" customWidth="1"/>
    <col min="7440" max="7441" width="5.75" style="656" customWidth="1"/>
    <col min="7442" max="7442" width="1.625" style="656" customWidth="1"/>
    <col min="7443" max="7680" width="9" style="656" customWidth="1"/>
    <col min="7681" max="7681" width="1.625" style="656" customWidth="1"/>
    <col min="7682" max="7682" width="10.625" style="656" customWidth="1"/>
    <col min="7683" max="7695" width="5.375" style="656" customWidth="1"/>
    <col min="7696" max="7697" width="5.75" style="656" customWidth="1"/>
    <col min="7698" max="7698" width="1.625" style="656" customWidth="1"/>
    <col min="7699" max="7936" width="9" style="656" customWidth="1"/>
    <col min="7937" max="7937" width="1.625" style="656" customWidth="1"/>
    <col min="7938" max="7938" width="10.625" style="656" customWidth="1"/>
    <col min="7939" max="7951" width="5.375" style="656" customWidth="1"/>
    <col min="7952" max="7953" width="5.75" style="656" customWidth="1"/>
    <col min="7954" max="7954" width="1.625" style="656" customWidth="1"/>
    <col min="7955" max="8192" width="9" style="656" customWidth="1"/>
    <col min="8193" max="8193" width="1.625" style="656" customWidth="1"/>
    <col min="8194" max="8194" width="10.625" style="656" customWidth="1"/>
    <col min="8195" max="8207" width="5.375" style="656" customWidth="1"/>
    <col min="8208" max="8209" width="5.75" style="656" customWidth="1"/>
    <col min="8210" max="8210" width="1.625" style="656" customWidth="1"/>
    <col min="8211" max="8448" width="9" style="656" customWidth="1"/>
    <col min="8449" max="8449" width="1.625" style="656" customWidth="1"/>
    <col min="8450" max="8450" width="10.625" style="656" customWidth="1"/>
    <col min="8451" max="8463" width="5.375" style="656" customWidth="1"/>
    <col min="8464" max="8465" width="5.75" style="656" customWidth="1"/>
    <col min="8466" max="8466" width="1.625" style="656" customWidth="1"/>
    <col min="8467" max="8704" width="9" style="656" customWidth="1"/>
    <col min="8705" max="8705" width="1.625" style="656" customWidth="1"/>
    <col min="8706" max="8706" width="10.625" style="656" customWidth="1"/>
    <col min="8707" max="8719" width="5.375" style="656" customWidth="1"/>
    <col min="8720" max="8721" width="5.75" style="656" customWidth="1"/>
    <col min="8722" max="8722" width="1.625" style="656" customWidth="1"/>
    <col min="8723" max="8960" width="9" style="656" customWidth="1"/>
    <col min="8961" max="8961" width="1.625" style="656" customWidth="1"/>
    <col min="8962" max="8962" width="10.625" style="656" customWidth="1"/>
    <col min="8963" max="8975" width="5.375" style="656" customWidth="1"/>
    <col min="8976" max="8977" width="5.75" style="656" customWidth="1"/>
    <col min="8978" max="8978" width="1.625" style="656" customWidth="1"/>
    <col min="8979" max="9216" width="9" style="656" customWidth="1"/>
    <col min="9217" max="9217" width="1.625" style="656" customWidth="1"/>
    <col min="9218" max="9218" width="10.625" style="656" customWidth="1"/>
    <col min="9219" max="9231" width="5.375" style="656" customWidth="1"/>
    <col min="9232" max="9233" width="5.75" style="656" customWidth="1"/>
    <col min="9234" max="9234" width="1.625" style="656" customWidth="1"/>
    <col min="9235" max="9472" width="9" style="656" customWidth="1"/>
    <col min="9473" max="9473" width="1.625" style="656" customWidth="1"/>
    <col min="9474" max="9474" width="10.625" style="656" customWidth="1"/>
    <col min="9475" max="9487" width="5.375" style="656" customWidth="1"/>
    <col min="9488" max="9489" width="5.75" style="656" customWidth="1"/>
    <col min="9490" max="9490" width="1.625" style="656" customWidth="1"/>
    <col min="9491" max="9728" width="9" style="656" customWidth="1"/>
    <col min="9729" max="9729" width="1.625" style="656" customWidth="1"/>
    <col min="9730" max="9730" width="10.625" style="656" customWidth="1"/>
    <col min="9731" max="9743" width="5.375" style="656" customWidth="1"/>
    <col min="9744" max="9745" width="5.75" style="656" customWidth="1"/>
    <col min="9746" max="9746" width="1.625" style="656" customWidth="1"/>
    <col min="9747" max="9984" width="9" style="656" customWidth="1"/>
    <col min="9985" max="9985" width="1.625" style="656" customWidth="1"/>
    <col min="9986" max="9986" width="10.625" style="656" customWidth="1"/>
    <col min="9987" max="9999" width="5.375" style="656" customWidth="1"/>
    <col min="10000" max="10001" width="5.75" style="656" customWidth="1"/>
    <col min="10002" max="10002" width="1.625" style="656" customWidth="1"/>
    <col min="10003" max="10240" width="9" style="656" customWidth="1"/>
    <col min="10241" max="10241" width="1.625" style="656" customWidth="1"/>
    <col min="10242" max="10242" width="10.625" style="656" customWidth="1"/>
    <col min="10243" max="10255" width="5.375" style="656" customWidth="1"/>
    <col min="10256" max="10257" width="5.75" style="656" customWidth="1"/>
    <col min="10258" max="10258" width="1.625" style="656" customWidth="1"/>
    <col min="10259" max="10496" width="9" style="656" customWidth="1"/>
    <col min="10497" max="10497" width="1.625" style="656" customWidth="1"/>
    <col min="10498" max="10498" width="10.625" style="656" customWidth="1"/>
    <col min="10499" max="10511" width="5.375" style="656" customWidth="1"/>
    <col min="10512" max="10513" width="5.75" style="656" customWidth="1"/>
    <col min="10514" max="10514" width="1.625" style="656" customWidth="1"/>
    <col min="10515" max="10752" width="9" style="656" customWidth="1"/>
    <col min="10753" max="10753" width="1.625" style="656" customWidth="1"/>
    <col min="10754" max="10754" width="10.625" style="656" customWidth="1"/>
    <col min="10755" max="10767" width="5.375" style="656" customWidth="1"/>
    <col min="10768" max="10769" width="5.75" style="656" customWidth="1"/>
    <col min="10770" max="10770" width="1.625" style="656" customWidth="1"/>
    <col min="10771" max="11008" width="9" style="656" customWidth="1"/>
    <col min="11009" max="11009" width="1.625" style="656" customWidth="1"/>
    <col min="11010" max="11010" width="10.625" style="656" customWidth="1"/>
    <col min="11011" max="11023" width="5.375" style="656" customWidth="1"/>
    <col min="11024" max="11025" width="5.75" style="656" customWidth="1"/>
    <col min="11026" max="11026" width="1.625" style="656" customWidth="1"/>
    <col min="11027" max="11264" width="9" style="656" customWidth="1"/>
    <col min="11265" max="11265" width="1.625" style="656" customWidth="1"/>
    <col min="11266" max="11266" width="10.625" style="656" customWidth="1"/>
    <col min="11267" max="11279" width="5.375" style="656" customWidth="1"/>
    <col min="11280" max="11281" width="5.75" style="656" customWidth="1"/>
    <col min="11282" max="11282" width="1.625" style="656" customWidth="1"/>
    <col min="11283" max="11520" width="9" style="656" customWidth="1"/>
    <col min="11521" max="11521" width="1.625" style="656" customWidth="1"/>
    <col min="11522" max="11522" width="10.625" style="656" customWidth="1"/>
    <col min="11523" max="11535" width="5.375" style="656" customWidth="1"/>
    <col min="11536" max="11537" width="5.75" style="656" customWidth="1"/>
    <col min="11538" max="11538" width="1.625" style="656" customWidth="1"/>
    <col min="11539" max="11776" width="9" style="656" customWidth="1"/>
    <col min="11777" max="11777" width="1.625" style="656" customWidth="1"/>
    <col min="11778" max="11778" width="10.625" style="656" customWidth="1"/>
    <col min="11779" max="11791" width="5.375" style="656" customWidth="1"/>
    <col min="11792" max="11793" width="5.75" style="656" customWidth="1"/>
    <col min="11794" max="11794" width="1.625" style="656" customWidth="1"/>
    <col min="11795" max="12032" width="9" style="656" customWidth="1"/>
    <col min="12033" max="12033" width="1.625" style="656" customWidth="1"/>
    <col min="12034" max="12034" width="10.625" style="656" customWidth="1"/>
    <col min="12035" max="12047" width="5.375" style="656" customWidth="1"/>
    <col min="12048" max="12049" width="5.75" style="656" customWidth="1"/>
    <col min="12050" max="12050" width="1.625" style="656" customWidth="1"/>
    <col min="12051" max="12288" width="9" style="656" customWidth="1"/>
    <col min="12289" max="12289" width="1.625" style="656" customWidth="1"/>
    <col min="12290" max="12290" width="10.625" style="656" customWidth="1"/>
    <col min="12291" max="12303" width="5.375" style="656" customWidth="1"/>
    <col min="12304" max="12305" width="5.75" style="656" customWidth="1"/>
    <col min="12306" max="12306" width="1.625" style="656" customWidth="1"/>
    <col min="12307" max="12544" width="9" style="656" customWidth="1"/>
    <col min="12545" max="12545" width="1.625" style="656" customWidth="1"/>
    <col min="12546" max="12546" width="10.625" style="656" customWidth="1"/>
    <col min="12547" max="12559" width="5.375" style="656" customWidth="1"/>
    <col min="12560" max="12561" width="5.75" style="656" customWidth="1"/>
    <col min="12562" max="12562" width="1.625" style="656" customWidth="1"/>
    <col min="12563" max="12800" width="9" style="656" customWidth="1"/>
    <col min="12801" max="12801" width="1.625" style="656" customWidth="1"/>
    <col min="12802" max="12802" width="10.625" style="656" customWidth="1"/>
    <col min="12803" max="12815" width="5.375" style="656" customWidth="1"/>
    <col min="12816" max="12817" width="5.75" style="656" customWidth="1"/>
    <col min="12818" max="12818" width="1.625" style="656" customWidth="1"/>
    <col min="12819" max="13056" width="9" style="656" customWidth="1"/>
    <col min="13057" max="13057" width="1.625" style="656" customWidth="1"/>
    <col min="13058" max="13058" width="10.625" style="656" customWidth="1"/>
    <col min="13059" max="13071" width="5.375" style="656" customWidth="1"/>
    <col min="13072" max="13073" width="5.75" style="656" customWidth="1"/>
    <col min="13074" max="13074" width="1.625" style="656" customWidth="1"/>
    <col min="13075" max="13312" width="9" style="656" customWidth="1"/>
    <col min="13313" max="13313" width="1.625" style="656" customWidth="1"/>
    <col min="13314" max="13314" width="10.625" style="656" customWidth="1"/>
    <col min="13315" max="13327" width="5.375" style="656" customWidth="1"/>
    <col min="13328" max="13329" width="5.75" style="656" customWidth="1"/>
    <col min="13330" max="13330" width="1.625" style="656" customWidth="1"/>
    <col min="13331" max="13568" width="9" style="656" customWidth="1"/>
    <col min="13569" max="13569" width="1.625" style="656" customWidth="1"/>
    <col min="13570" max="13570" width="10.625" style="656" customWidth="1"/>
    <col min="13571" max="13583" width="5.375" style="656" customWidth="1"/>
    <col min="13584" max="13585" width="5.75" style="656" customWidth="1"/>
    <col min="13586" max="13586" width="1.625" style="656" customWidth="1"/>
    <col min="13587" max="13824" width="9" style="656" customWidth="1"/>
    <col min="13825" max="13825" width="1.625" style="656" customWidth="1"/>
    <col min="13826" max="13826" width="10.625" style="656" customWidth="1"/>
    <col min="13827" max="13839" width="5.375" style="656" customWidth="1"/>
    <col min="13840" max="13841" width="5.75" style="656" customWidth="1"/>
    <col min="13842" max="13842" width="1.625" style="656" customWidth="1"/>
    <col min="13843" max="14080" width="9" style="656" customWidth="1"/>
    <col min="14081" max="14081" width="1.625" style="656" customWidth="1"/>
    <col min="14082" max="14082" width="10.625" style="656" customWidth="1"/>
    <col min="14083" max="14095" width="5.375" style="656" customWidth="1"/>
    <col min="14096" max="14097" width="5.75" style="656" customWidth="1"/>
    <col min="14098" max="14098" width="1.625" style="656" customWidth="1"/>
    <col min="14099" max="14336" width="9" style="656" customWidth="1"/>
    <col min="14337" max="14337" width="1.625" style="656" customWidth="1"/>
    <col min="14338" max="14338" width="10.625" style="656" customWidth="1"/>
    <col min="14339" max="14351" width="5.375" style="656" customWidth="1"/>
    <col min="14352" max="14353" width="5.75" style="656" customWidth="1"/>
    <col min="14354" max="14354" width="1.625" style="656" customWidth="1"/>
    <col min="14355" max="14592" width="9" style="656" customWidth="1"/>
    <col min="14593" max="14593" width="1.625" style="656" customWidth="1"/>
    <col min="14594" max="14594" width="10.625" style="656" customWidth="1"/>
    <col min="14595" max="14607" width="5.375" style="656" customWidth="1"/>
    <col min="14608" max="14609" width="5.75" style="656" customWidth="1"/>
    <col min="14610" max="14610" width="1.625" style="656" customWidth="1"/>
    <col min="14611" max="14848" width="9" style="656" customWidth="1"/>
    <col min="14849" max="14849" width="1.625" style="656" customWidth="1"/>
    <col min="14850" max="14850" width="10.625" style="656" customWidth="1"/>
    <col min="14851" max="14863" width="5.375" style="656" customWidth="1"/>
    <col min="14864" max="14865" width="5.75" style="656" customWidth="1"/>
    <col min="14866" max="14866" width="1.625" style="656" customWidth="1"/>
    <col min="14867" max="15104" width="9" style="656" customWidth="1"/>
    <col min="15105" max="15105" width="1.625" style="656" customWidth="1"/>
    <col min="15106" max="15106" width="10.625" style="656" customWidth="1"/>
    <col min="15107" max="15119" width="5.375" style="656" customWidth="1"/>
    <col min="15120" max="15121" width="5.75" style="656" customWidth="1"/>
    <col min="15122" max="15122" width="1.625" style="656" customWidth="1"/>
    <col min="15123" max="15360" width="9" style="656" customWidth="1"/>
    <col min="15361" max="15361" width="1.625" style="656" customWidth="1"/>
    <col min="15362" max="15362" width="10.625" style="656" customWidth="1"/>
    <col min="15363" max="15375" width="5.375" style="656" customWidth="1"/>
    <col min="15376" max="15377" width="5.75" style="656" customWidth="1"/>
    <col min="15378" max="15378" width="1.625" style="656" customWidth="1"/>
    <col min="15379" max="15616" width="9" style="656" customWidth="1"/>
    <col min="15617" max="15617" width="1.625" style="656" customWidth="1"/>
    <col min="15618" max="15618" width="10.625" style="656" customWidth="1"/>
    <col min="15619" max="15631" width="5.375" style="656" customWidth="1"/>
    <col min="15632" max="15633" width="5.75" style="656" customWidth="1"/>
    <col min="15634" max="15634" width="1.625" style="656" customWidth="1"/>
    <col min="15635" max="15872" width="9" style="656" customWidth="1"/>
    <col min="15873" max="15873" width="1.625" style="656" customWidth="1"/>
    <col min="15874" max="15874" width="10.625" style="656" customWidth="1"/>
    <col min="15875" max="15887" width="5.375" style="656" customWidth="1"/>
    <col min="15888" max="15889" width="5.75" style="656" customWidth="1"/>
    <col min="15890" max="15890" width="1.625" style="656" customWidth="1"/>
    <col min="15891" max="16128" width="9" style="656" customWidth="1"/>
    <col min="16129" max="16129" width="1.625" style="656" customWidth="1"/>
    <col min="16130" max="16130" width="10.625" style="656" customWidth="1"/>
    <col min="16131" max="16143" width="5.375" style="656" customWidth="1"/>
    <col min="16144" max="16145" width="5.75" style="656" customWidth="1"/>
    <col min="16146" max="16146" width="1.625" style="656" customWidth="1"/>
    <col min="16147" max="16384" width="9" style="656" customWidth="1"/>
  </cols>
  <sheetData>
    <row r="1" spans="1:20" ht="20.100000000000001" customHeight="1" thickBot="1">
      <c r="B1" s="656" t="s">
        <v>2885</v>
      </c>
      <c r="O1" s="1813">
        <v>20190401</v>
      </c>
      <c r="P1" s="1813"/>
      <c r="Q1" s="1813"/>
    </row>
    <row r="2" spans="1:20" ht="5.0999999999999996" customHeight="1" thickTop="1">
      <c r="A2" s="726"/>
      <c r="B2" s="727"/>
      <c r="C2" s="727"/>
      <c r="D2" s="727"/>
      <c r="E2" s="727"/>
      <c r="F2" s="727"/>
      <c r="G2" s="727"/>
      <c r="H2" s="727"/>
      <c r="I2" s="727"/>
      <c r="J2" s="727"/>
      <c r="K2" s="727"/>
      <c r="L2" s="727"/>
      <c r="M2" s="727"/>
      <c r="N2" s="727"/>
      <c r="O2" s="728"/>
      <c r="P2" s="728"/>
      <c r="Q2" s="728"/>
      <c r="R2" s="729"/>
    </row>
    <row r="3" spans="1:20" ht="20.100000000000001" customHeight="1">
      <c r="A3" s="730"/>
      <c r="B3" s="1856" t="s">
        <v>3337</v>
      </c>
      <c r="C3" s="1856"/>
      <c r="D3" s="1856"/>
      <c r="E3" s="1856"/>
      <c r="F3" s="1856"/>
      <c r="G3" s="1856"/>
      <c r="H3" s="1856"/>
      <c r="I3" s="1856"/>
      <c r="J3" s="1856"/>
      <c r="K3" s="1856"/>
      <c r="L3" s="1856"/>
      <c r="M3" s="1856"/>
      <c r="N3" s="1857"/>
      <c r="O3" s="1858" t="s">
        <v>3338</v>
      </c>
      <c r="P3" s="1859"/>
      <c r="Q3" s="1860"/>
      <c r="R3" s="731"/>
    </row>
    <row r="4" spans="1:20" ht="20.100000000000001" customHeight="1">
      <c r="A4" s="730"/>
      <c r="B4" s="1861" t="s">
        <v>3339</v>
      </c>
      <c r="C4" s="1861"/>
      <c r="D4" s="1861"/>
      <c r="E4" s="1861"/>
      <c r="F4" s="1861"/>
      <c r="G4" s="1861"/>
      <c r="H4" s="1861"/>
      <c r="I4" s="1861"/>
      <c r="J4" s="1861"/>
      <c r="K4" s="1861"/>
      <c r="L4" s="1861"/>
      <c r="M4" s="1861"/>
      <c r="N4" s="1862"/>
      <c r="O4" s="1863"/>
      <c r="P4" s="1864"/>
      <c r="Q4" s="1865"/>
      <c r="R4" s="731"/>
    </row>
    <row r="5" spans="1:20" ht="20.100000000000001" customHeight="1">
      <c r="A5" s="730"/>
      <c r="B5" s="1872" t="s">
        <v>3340</v>
      </c>
      <c r="C5" s="1872"/>
      <c r="D5" s="1872"/>
      <c r="E5" s="1872"/>
      <c r="F5" s="1872"/>
      <c r="G5" s="1872"/>
      <c r="H5" s="1872"/>
      <c r="I5" s="1872"/>
      <c r="J5" s="1872"/>
      <c r="K5" s="1872"/>
      <c r="L5" s="1872"/>
      <c r="M5" s="1872"/>
      <c r="N5" s="1873"/>
      <c r="O5" s="1866"/>
      <c r="P5" s="1867"/>
      <c r="Q5" s="1868"/>
      <c r="R5" s="731"/>
    </row>
    <row r="6" spans="1:20" ht="20.100000000000001" customHeight="1">
      <c r="A6" s="730"/>
      <c r="B6" s="1872"/>
      <c r="C6" s="1872"/>
      <c r="D6" s="1872"/>
      <c r="E6" s="1872"/>
      <c r="F6" s="1872"/>
      <c r="G6" s="1872"/>
      <c r="H6" s="1872"/>
      <c r="I6" s="1872"/>
      <c r="J6" s="1872"/>
      <c r="K6" s="1872"/>
      <c r="L6" s="1872"/>
      <c r="M6" s="1872"/>
      <c r="N6" s="1873"/>
      <c r="O6" s="1866"/>
      <c r="P6" s="1867"/>
      <c r="Q6" s="1868"/>
      <c r="R6" s="731"/>
    </row>
    <row r="7" spans="1:20" ht="20.100000000000001" customHeight="1">
      <c r="A7" s="730"/>
      <c r="C7" s="732"/>
      <c r="D7" s="733" t="s">
        <v>4</v>
      </c>
      <c r="E7" s="732"/>
      <c r="F7" s="734" t="s">
        <v>3341</v>
      </c>
      <c r="L7" s="734"/>
      <c r="M7" s="734"/>
      <c r="N7" s="734"/>
      <c r="O7" s="1869"/>
      <c r="P7" s="1870"/>
      <c r="Q7" s="1871"/>
      <c r="R7" s="731"/>
    </row>
    <row r="8" spans="1:20" ht="5.0999999999999996" customHeight="1" thickBot="1">
      <c r="A8" s="735"/>
      <c r="B8" s="736"/>
      <c r="C8" s="736"/>
      <c r="D8" s="736"/>
      <c r="E8" s="736"/>
      <c r="F8" s="737"/>
      <c r="G8" s="736"/>
      <c r="H8" s="737"/>
      <c r="I8" s="736"/>
      <c r="J8" s="738"/>
      <c r="K8" s="738"/>
      <c r="L8" s="736"/>
      <c r="M8" s="736"/>
      <c r="N8" s="736"/>
      <c r="O8" s="739"/>
      <c r="P8" s="739"/>
      <c r="Q8" s="739"/>
      <c r="R8" s="740"/>
    </row>
    <row r="9" spans="1:20" ht="20.100000000000001" customHeight="1" thickTop="1">
      <c r="C9" s="718"/>
      <c r="D9" s="718"/>
      <c r="E9" s="718"/>
      <c r="F9" s="718"/>
      <c r="G9" s="718"/>
      <c r="H9" s="718"/>
      <c r="I9" s="741"/>
      <c r="P9" s="656"/>
      <c r="Q9" s="741" t="s">
        <v>3038</v>
      </c>
    </row>
    <row r="10" spans="1:20" ht="15.75">
      <c r="B10" s="1815" t="s">
        <v>3342</v>
      </c>
      <c r="C10" s="1816"/>
      <c r="D10" s="1816"/>
      <c r="E10" s="1816"/>
      <c r="F10" s="1816"/>
      <c r="G10" s="1816"/>
      <c r="H10" s="1816"/>
      <c r="I10" s="1816"/>
      <c r="J10" s="1816"/>
      <c r="K10" s="1816"/>
      <c r="L10" s="1816"/>
      <c r="M10" s="1816"/>
      <c r="N10" s="1816"/>
      <c r="O10" s="1816"/>
      <c r="P10" s="1816"/>
      <c r="Q10" s="1816"/>
      <c r="S10" s="687"/>
    </row>
    <row r="11" spans="1:20" ht="15.75">
      <c r="B11" s="1816"/>
      <c r="C11" s="1816"/>
      <c r="D11" s="1816"/>
      <c r="E11" s="1816"/>
      <c r="F11" s="1816"/>
      <c r="G11" s="1816"/>
      <c r="H11" s="1816"/>
      <c r="I11" s="1816"/>
      <c r="J11" s="1816"/>
      <c r="K11" s="1816"/>
      <c r="L11" s="1816"/>
      <c r="M11" s="1816"/>
      <c r="N11" s="1816"/>
      <c r="O11" s="1816"/>
      <c r="P11" s="1816"/>
      <c r="Q11" s="1816"/>
      <c r="T11" s="742"/>
    </row>
    <row r="12" spans="1:20" ht="28.5">
      <c r="B12" s="743" t="s">
        <v>3343</v>
      </c>
      <c r="C12" s="744"/>
      <c r="D12" s="744"/>
      <c r="E12" s="744"/>
      <c r="F12" s="744"/>
      <c r="G12" s="744"/>
      <c r="H12" s="715"/>
      <c r="I12" s="715"/>
      <c r="J12" s="715"/>
      <c r="K12" s="745"/>
      <c r="L12" s="746" t="s">
        <v>3344</v>
      </c>
      <c r="M12" s="744"/>
      <c r="N12" s="744"/>
      <c r="O12" s="1874" t="s">
        <v>3345</v>
      </c>
      <c r="P12" s="1874"/>
      <c r="Q12" s="1875"/>
    </row>
    <row r="13" spans="1:20" s="687" customFormat="1" ht="24" customHeight="1">
      <c r="B13" s="1876" t="s">
        <v>3346</v>
      </c>
      <c r="C13" s="1877"/>
      <c r="D13" s="1877"/>
      <c r="E13" s="1877"/>
      <c r="F13" s="1877"/>
      <c r="G13" s="1877"/>
      <c r="H13" s="1877"/>
      <c r="I13" s="1877"/>
      <c r="J13" s="1877"/>
      <c r="K13" s="747" t="s">
        <v>3347</v>
      </c>
      <c r="L13" s="1878" t="s">
        <v>2992</v>
      </c>
      <c r="M13" s="1878"/>
      <c r="N13" s="705" t="s">
        <v>3002</v>
      </c>
      <c r="O13" s="667" t="s">
        <v>3003</v>
      </c>
      <c r="P13" s="682"/>
      <c r="Q13" s="748"/>
    </row>
    <row r="14" spans="1:20" s="687" customFormat="1" ht="24" customHeight="1">
      <c r="B14" s="1879" t="s">
        <v>3348</v>
      </c>
      <c r="C14" s="1880"/>
      <c r="D14" s="1880"/>
      <c r="E14" s="1880"/>
      <c r="F14" s="1880"/>
      <c r="G14" s="1880"/>
      <c r="H14" s="1880"/>
      <c r="I14" s="1880"/>
      <c r="J14" s="1880"/>
      <c r="K14" s="749" t="s">
        <v>3347</v>
      </c>
      <c r="L14" s="1878" t="s">
        <v>3017</v>
      </c>
      <c r="M14" s="1878"/>
      <c r="N14" s="705" t="s">
        <v>3002</v>
      </c>
      <c r="O14" s="750" t="s">
        <v>3028</v>
      </c>
      <c r="P14" s="751"/>
      <c r="Q14" s="752"/>
    </row>
    <row r="15" spans="1:20" s="687" customFormat="1" ht="24" customHeight="1">
      <c r="B15" s="1879" t="s">
        <v>3349</v>
      </c>
      <c r="C15" s="1880"/>
      <c r="D15" s="1880"/>
      <c r="E15" s="1880"/>
      <c r="F15" s="1880"/>
      <c r="G15" s="1880"/>
      <c r="H15" s="1880"/>
      <c r="I15" s="1880"/>
      <c r="J15" s="1880"/>
      <c r="K15" s="749" t="s">
        <v>3347</v>
      </c>
      <c r="L15" s="1878" t="s">
        <v>3006</v>
      </c>
      <c r="M15" s="1878"/>
      <c r="N15" s="705" t="s">
        <v>3002</v>
      </c>
      <c r="O15" s="667" t="s">
        <v>3013</v>
      </c>
      <c r="P15" s="682"/>
      <c r="Q15" s="748"/>
    </row>
    <row r="16" spans="1:20" s="687" customFormat="1" ht="27.95" customHeight="1">
      <c r="B16" s="1881" t="s">
        <v>3350</v>
      </c>
      <c r="C16" s="1882"/>
      <c r="D16" s="1882"/>
      <c r="E16" s="1882"/>
      <c r="F16" s="1882"/>
      <c r="G16" s="1882"/>
      <c r="H16" s="1882"/>
      <c r="I16" s="1882"/>
      <c r="J16" s="1882"/>
      <c r="K16" s="753"/>
      <c r="L16" s="754" t="s">
        <v>3351</v>
      </c>
      <c r="M16" s="753"/>
      <c r="N16" s="753"/>
      <c r="O16" s="1883" t="s">
        <v>2990</v>
      </c>
      <c r="P16" s="1883"/>
      <c r="Q16" s="1884"/>
    </row>
    <row r="17" spans="2:19" s="687" customFormat="1" ht="9.9499999999999993" customHeight="1" thickBot="1">
      <c r="B17" s="755"/>
      <c r="C17" s="756"/>
      <c r="D17" s="720"/>
      <c r="G17" s="755"/>
      <c r="H17" s="755"/>
      <c r="I17" s="755"/>
      <c r="J17" s="755"/>
      <c r="K17" s="755"/>
      <c r="L17" s="757"/>
      <c r="M17" s="755"/>
      <c r="N17" s="755"/>
      <c r="O17" s="755"/>
      <c r="P17" s="755"/>
      <c r="Q17" s="755"/>
    </row>
    <row r="18" spans="2:19" s="687" customFormat="1" ht="20.100000000000001" customHeight="1">
      <c r="B18" s="1885" t="s">
        <v>3352</v>
      </c>
      <c r="C18" s="1886"/>
      <c r="D18" s="1886"/>
      <c r="E18" s="1886"/>
      <c r="F18" s="1886"/>
      <c r="G18" s="1886"/>
      <c r="H18" s="1886"/>
      <c r="I18" s="1886"/>
      <c r="J18" s="1886"/>
      <c r="K18" s="1886"/>
      <c r="L18" s="1886"/>
      <c r="M18" s="1886"/>
      <c r="N18" s="1886"/>
      <c r="O18" s="1886"/>
      <c r="P18" s="1886"/>
      <c r="Q18" s="1887"/>
    </row>
    <row r="19" spans="2:19" s="687" customFormat="1" ht="20.100000000000001" customHeight="1" thickBot="1">
      <c r="B19" s="1888"/>
      <c r="C19" s="1889"/>
      <c r="D19" s="1889"/>
      <c r="E19" s="1889"/>
      <c r="F19" s="1889"/>
      <c r="G19" s="1889"/>
      <c r="H19" s="1889"/>
      <c r="I19" s="1889"/>
      <c r="J19" s="1889"/>
      <c r="K19" s="1889"/>
      <c r="L19" s="1889"/>
      <c r="M19" s="1889"/>
      <c r="N19" s="1889"/>
      <c r="O19" s="1889"/>
      <c r="P19" s="1889"/>
      <c r="Q19" s="1890"/>
    </row>
    <row r="20" spans="2:19" s="758" customFormat="1" ht="10.15" customHeight="1">
      <c r="B20" s="759"/>
      <c r="C20" s="759"/>
      <c r="D20" s="759"/>
      <c r="E20" s="759"/>
      <c r="F20" s="759"/>
      <c r="G20" s="759"/>
      <c r="H20" s="759"/>
      <c r="I20" s="759"/>
      <c r="J20" s="759"/>
      <c r="K20" s="759"/>
      <c r="L20" s="759"/>
      <c r="M20" s="759"/>
      <c r="N20" s="759"/>
      <c r="O20" s="759"/>
      <c r="P20" s="759"/>
      <c r="Q20" s="759"/>
    </row>
    <row r="21" spans="2:19">
      <c r="B21" s="1817" t="s">
        <v>3353</v>
      </c>
      <c r="C21" s="1818"/>
      <c r="D21" s="1818"/>
      <c r="E21" s="1818"/>
      <c r="F21" s="1818"/>
      <c r="G21" s="1818"/>
      <c r="H21" s="1818"/>
      <c r="I21" s="1818"/>
      <c r="J21" s="1818"/>
      <c r="K21" s="1818"/>
      <c r="L21" s="1818"/>
      <c r="M21" s="1818"/>
      <c r="N21" s="1818"/>
      <c r="O21" s="1818"/>
      <c r="P21" s="1818"/>
      <c r="Q21" s="1819"/>
    </row>
    <row r="22" spans="2:19">
      <c r="B22" s="659" t="s">
        <v>3321</v>
      </c>
      <c r="C22" s="660" t="s">
        <v>3322</v>
      </c>
      <c r="D22" s="661"/>
      <c r="E22" s="661"/>
      <c r="F22" s="661"/>
      <c r="G22" s="661"/>
      <c r="H22" s="661"/>
      <c r="I22" s="661"/>
      <c r="J22" s="661"/>
      <c r="K22" s="661"/>
      <c r="L22" s="661"/>
      <c r="M22" s="661"/>
      <c r="N22" s="661"/>
      <c r="O22" s="661"/>
      <c r="P22" s="661"/>
      <c r="Q22" s="661"/>
    </row>
    <row r="23" spans="2:19" ht="24.95" customHeight="1">
      <c r="B23" s="662" t="str">
        <f>IF(目次・入力シート!BJ29="完了検査","■","□")</f>
        <v>□</v>
      </c>
      <c r="C23" s="663" t="s">
        <v>1233</v>
      </c>
      <c r="D23" s="663"/>
      <c r="E23" s="663"/>
      <c r="F23" s="663"/>
      <c r="G23" s="663"/>
      <c r="H23" s="663"/>
      <c r="I23" s="664"/>
      <c r="J23" s="1820" t="s">
        <v>3323</v>
      </c>
      <c r="K23" s="1820"/>
      <c r="L23" s="1820"/>
      <c r="M23" s="665" t="s">
        <v>374</v>
      </c>
      <c r="N23" s="1821" t="str">
        <f>IF(目次・入力シート!BK31="","「目次･入力シート」に入力してください",目次・入力シート!BK31)</f>
        <v>「目次･入力シート」に入力してください</v>
      </c>
      <c r="O23" s="1821"/>
      <c r="P23" s="1821"/>
      <c r="Q23" s="666" t="s">
        <v>375</v>
      </c>
    </row>
    <row r="24" spans="2:19" ht="24.95" customHeight="1">
      <c r="B24" s="662" t="str">
        <f>IF(目次・入力シート!BJ35="適合証明現場検査","■","□")</f>
        <v>□</v>
      </c>
      <c r="C24" s="667" t="s">
        <v>2773</v>
      </c>
      <c r="D24" s="668"/>
      <c r="E24" s="669"/>
      <c r="F24" s="662" t="str">
        <f>IF(目次・入力シート!BJ37="中間検査","■","□")</f>
        <v>□</v>
      </c>
      <c r="G24" s="668" t="s">
        <v>3324</v>
      </c>
      <c r="H24" s="662" t="str">
        <f>IF(目次・入力シート!BJ37="竣工検査","■","□")</f>
        <v>□</v>
      </c>
      <c r="I24" s="670" t="s">
        <v>3325</v>
      </c>
      <c r="J24" s="1822" t="s">
        <v>3326</v>
      </c>
      <c r="K24" s="1822"/>
      <c r="L24" s="1822"/>
      <c r="M24" s="671" t="s">
        <v>374</v>
      </c>
      <c r="N24" s="1823" t="str">
        <f>IF(目次・入力シート!BK39="","「目次･入力シート」に入力してください",目次・入力シート!BK39)</f>
        <v>「目次･入力シート」に入力してください</v>
      </c>
      <c r="O24" s="1823"/>
      <c r="P24" s="1823"/>
      <c r="Q24" s="672" t="s">
        <v>375</v>
      </c>
    </row>
    <row r="25" spans="2:19" ht="24.95" customHeight="1">
      <c r="B25" s="662" t="str">
        <f>IF(目次・入力シート!BJ41="災害復興","■","□")</f>
        <v>□</v>
      </c>
      <c r="C25" s="670" t="s">
        <v>2782</v>
      </c>
      <c r="D25" s="668"/>
      <c r="E25" s="745"/>
      <c r="F25" s="745"/>
      <c r="G25" s="745"/>
      <c r="H25" s="745"/>
      <c r="I25" s="745"/>
      <c r="J25" s="760"/>
      <c r="K25" s="745"/>
      <c r="L25" s="745"/>
      <c r="M25" s="745"/>
      <c r="N25" s="745"/>
      <c r="O25" s="745"/>
      <c r="P25" s="745"/>
      <c r="Q25" s="745"/>
    </row>
    <row r="26" spans="2:19" ht="24.95" customHeight="1">
      <c r="B26" s="659" t="s">
        <v>3042</v>
      </c>
      <c r="C26" s="668"/>
      <c r="D26" s="1892" t="str">
        <f>cst_wskakunin_owner1__space&amp;" "&amp;cst_wskakunin_owner2__space&amp;" "&amp;cst_wskakunin_owner3__space&amp;" "&amp;cst_wskakunin_owner4__space</f>
        <v xml:space="preserve">   </v>
      </c>
      <c r="E26" s="1892"/>
      <c r="F26" s="1892"/>
      <c r="G26" s="1892"/>
      <c r="H26" s="1892"/>
      <c r="I26" s="1892"/>
      <c r="J26" s="1892"/>
      <c r="K26" s="1892"/>
      <c r="L26" s="1892"/>
      <c r="M26" s="1892"/>
      <c r="N26" s="1892"/>
      <c r="O26" s="1892"/>
      <c r="P26" s="1892"/>
      <c r="Q26" s="1892"/>
    </row>
    <row r="27" spans="2:19" ht="24.95" customHeight="1">
      <c r="B27" s="659" t="s">
        <v>3354</v>
      </c>
      <c r="C27" s="761"/>
      <c r="D27" s="1893" t="str">
        <f>IF(目次・入力シート!BJ43="","「目次･入力シート」に入力してください",目次・入力シート!BJ43)</f>
        <v>「目次･入力シート」に入力してください</v>
      </c>
      <c r="E27" s="1893"/>
      <c r="F27" s="1893"/>
      <c r="G27" s="1893"/>
      <c r="H27" s="1893"/>
      <c r="I27" s="762" t="s">
        <v>2785</v>
      </c>
      <c r="J27" s="666"/>
      <c r="K27" s="664"/>
      <c r="L27" s="761"/>
      <c r="M27" s="761"/>
      <c r="N27" s="761"/>
      <c r="O27" s="761"/>
      <c r="P27" s="761"/>
      <c r="Q27" s="761"/>
      <c r="S27" s="763"/>
    </row>
    <row r="28" spans="2:19" ht="24.95" customHeight="1">
      <c r="B28" s="717" t="s">
        <v>3355</v>
      </c>
      <c r="C28" s="670"/>
      <c r="D28" s="764" t="str">
        <f>IF(目次・入力シート!BJ45="","",目次・入力シート!BJ45)</f>
        <v/>
      </c>
      <c r="E28" s="760" t="s">
        <v>4</v>
      </c>
      <c r="F28" s="764" t="str">
        <f>IF(目次・入力シート!BJ47="","",目次・入力シート!BJ47)</f>
        <v/>
      </c>
      <c r="G28" s="760" t="s">
        <v>373</v>
      </c>
      <c r="H28" s="765" t="s">
        <v>3356</v>
      </c>
      <c r="I28" s="1894" t="str">
        <f>IF(目次・入力シート!BJ49="","",目次・入力シート!BJ49)</f>
        <v/>
      </c>
      <c r="J28" s="1894"/>
      <c r="K28" s="1894"/>
      <c r="L28" s="1894"/>
      <c r="M28" s="1894"/>
      <c r="N28" s="1894"/>
      <c r="O28" s="1894"/>
      <c r="P28" s="1894"/>
      <c r="Q28" s="667" t="s">
        <v>3357</v>
      </c>
    </row>
    <row r="29" spans="2:19" ht="24.95" customHeight="1">
      <c r="B29" s="766" t="s">
        <v>3358</v>
      </c>
      <c r="C29" s="767"/>
      <c r="D29" s="767"/>
      <c r="E29" s="767"/>
      <c r="F29" s="760"/>
      <c r="G29" s="760"/>
      <c r="H29" s="767"/>
      <c r="I29" s="767"/>
      <c r="J29" s="768"/>
      <c r="K29" s="769"/>
      <c r="L29" s="768"/>
      <c r="M29" s="769"/>
      <c r="N29" s="768"/>
      <c r="O29" s="767"/>
      <c r="P29" s="767"/>
      <c r="Q29" s="767"/>
    </row>
    <row r="30" spans="2:19" ht="24.95" customHeight="1">
      <c r="B30" s="659" t="s">
        <v>3359</v>
      </c>
      <c r="C30" s="770"/>
      <c r="D30" s="1895" t="s">
        <v>3360</v>
      </c>
      <c r="E30" s="1895"/>
      <c r="F30" s="770"/>
      <c r="G30" s="1896" t="s">
        <v>3361</v>
      </c>
      <c r="H30" s="1896"/>
      <c r="M30" s="771"/>
      <c r="N30" s="771"/>
      <c r="O30" s="771"/>
      <c r="P30" s="771"/>
      <c r="Q30" s="771"/>
    </row>
    <row r="31" spans="2:19">
      <c r="B31" s="1817" t="s">
        <v>3362</v>
      </c>
      <c r="C31" s="1818"/>
      <c r="D31" s="1818"/>
      <c r="E31" s="1818"/>
      <c r="F31" s="1818"/>
      <c r="G31" s="1818"/>
      <c r="H31" s="1818"/>
      <c r="I31" s="1818"/>
      <c r="J31" s="1818"/>
      <c r="K31" s="1818"/>
      <c r="L31" s="1818"/>
      <c r="M31" s="1818"/>
      <c r="N31" s="1818"/>
      <c r="O31" s="1818"/>
      <c r="P31" s="1818"/>
      <c r="Q31" s="1819"/>
    </row>
    <row r="32" spans="2:19" ht="24.95" customHeight="1">
      <c r="B32" s="772" t="s">
        <v>3363</v>
      </c>
      <c r="C32" s="1891" t="str">
        <f>IF(目次・入力シート!BJ51="","「目次･入力シート」に入力してください",目次・入力シート!BJ51)</f>
        <v>「目次･入力シート」に入力してください</v>
      </c>
      <c r="D32" s="1891"/>
      <c r="E32" s="1891"/>
      <c r="F32" s="1891"/>
      <c r="G32" s="1891"/>
      <c r="H32" s="1891"/>
      <c r="I32" s="1891"/>
      <c r="J32" s="1891"/>
      <c r="K32" s="1891"/>
      <c r="L32" s="1891"/>
      <c r="M32" s="1891"/>
      <c r="N32" s="1891"/>
      <c r="O32" s="1891"/>
      <c r="P32" s="1891"/>
      <c r="Q32" s="1891"/>
    </row>
    <row r="33" spans="2:17" ht="24.95" customHeight="1">
      <c r="B33" s="773" t="s">
        <v>3364</v>
      </c>
      <c r="C33" s="1891" t="str">
        <f>IF(目次・入力シート!BJ53="","「目次･入力シート」に入力してください",目次・入力シート!BJ53)</f>
        <v>「目次･入力シート」に入力してください</v>
      </c>
      <c r="D33" s="1891"/>
      <c r="E33" s="1891"/>
      <c r="F33" s="1891"/>
      <c r="G33" s="1891"/>
      <c r="H33" s="774" t="str">
        <f>IF(目次・入力シート!BE55="FAX","■","□")</f>
        <v>□</v>
      </c>
      <c r="I33" s="771"/>
      <c r="J33" s="771"/>
      <c r="K33" s="775" t="s">
        <v>3365</v>
      </c>
      <c r="L33" s="1891" t="str">
        <f>IF(目次・入力シート!BJ57="","「目次･入力シート」に入力してください",目次・入力シート!BJ57)</f>
        <v>「目次･入力シート」に入力してください</v>
      </c>
      <c r="M33" s="1891"/>
      <c r="N33" s="1891"/>
      <c r="O33" s="1891"/>
      <c r="P33" s="1891"/>
      <c r="Q33" s="1891"/>
    </row>
    <row r="34" spans="2:17" ht="24.95" customHeight="1">
      <c r="B34" s="717" t="s">
        <v>3366</v>
      </c>
      <c r="C34" s="1891" t="str">
        <f>IF(目次・入力シート!BJ61="","「目次･入力シート」に入力してください",目次・入力シート!BJ61)</f>
        <v>「目次･入力シート」に入力してください</v>
      </c>
      <c r="D34" s="1891"/>
      <c r="E34" s="1891"/>
      <c r="F34" s="1891"/>
      <c r="G34" s="1891"/>
      <c r="H34" s="776" t="str">
        <f>IF(目次・入力シート!BE55="メール","■","□")</f>
        <v>□</v>
      </c>
      <c r="I34" s="771"/>
      <c r="J34" s="771"/>
      <c r="K34" s="777" t="s">
        <v>3048</v>
      </c>
      <c r="L34" s="1898" t="str">
        <f>IF(目次・入力シート!BJ59="","「目次･入力シート」に入力してください",目次・入力シート!BJ59)</f>
        <v>「目次･入力シート」に入力してください</v>
      </c>
      <c r="M34" s="1898"/>
      <c r="N34" s="1898"/>
      <c r="O34" s="1898"/>
      <c r="P34" s="1898"/>
      <c r="Q34" s="1898"/>
    </row>
    <row r="35" spans="2:17" ht="24.95" customHeight="1">
      <c r="B35" s="659" t="s">
        <v>3047</v>
      </c>
      <c r="C35" s="1891" t="str">
        <f>IF(目次・入力シート!BJ63="","「目次･入力シート」に入力してください",目次・入力シート!BJ63)</f>
        <v>「目次･入力シート」に入力してください</v>
      </c>
      <c r="D35" s="1891"/>
      <c r="E35" s="1891"/>
      <c r="F35" s="1891"/>
      <c r="G35" s="1891"/>
      <c r="H35" s="723" t="s">
        <v>3367</v>
      </c>
      <c r="P35" s="656"/>
      <c r="Q35" s="656"/>
    </row>
    <row r="36" spans="2:17" ht="15.75" customHeight="1" thickBot="1">
      <c r="B36" s="1899"/>
      <c r="C36" s="1899"/>
      <c r="O36" s="657"/>
      <c r="P36" s="657"/>
      <c r="Q36" s="658" t="s">
        <v>3368</v>
      </c>
    </row>
    <row r="37" spans="2:17" s="734" customFormat="1" ht="13.5">
      <c r="B37" s="778" t="s">
        <v>3369</v>
      </c>
      <c r="C37" s="779"/>
      <c r="D37" s="779"/>
      <c r="E37" s="779"/>
      <c r="F37" s="779"/>
      <c r="G37" s="779"/>
      <c r="H37" s="779"/>
      <c r="I37" s="779"/>
      <c r="J37" s="779"/>
      <c r="K37" s="779"/>
      <c r="L37" s="779"/>
      <c r="M37" s="779"/>
      <c r="N37" s="779"/>
      <c r="O37" s="780"/>
      <c r="P37" s="780"/>
      <c r="Q37" s="781"/>
    </row>
    <row r="38" spans="2:17" s="734" customFormat="1" ht="13.5">
      <c r="B38" s="782" t="s">
        <v>3370</v>
      </c>
      <c r="C38" s="734" t="s">
        <v>3371</v>
      </c>
      <c r="J38" s="734" t="s">
        <v>3372</v>
      </c>
      <c r="L38" s="734" t="s">
        <v>3373</v>
      </c>
      <c r="P38" s="733"/>
      <c r="Q38" s="783"/>
    </row>
    <row r="39" spans="2:17" s="734" customFormat="1" ht="13.5">
      <c r="B39" s="782"/>
      <c r="C39" s="784" t="s">
        <v>3374</v>
      </c>
      <c r="D39" s="784"/>
      <c r="E39" s="784"/>
      <c r="F39" s="784"/>
      <c r="G39" s="784"/>
      <c r="P39" s="733"/>
      <c r="Q39" s="783"/>
    </row>
    <row r="40" spans="2:17" s="734" customFormat="1" ht="13.5">
      <c r="B40" s="782"/>
      <c r="P40" s="733"/>
      <c r="Q40" s="783"/>
    </row>
    <row r="41" spans="2:17" s="734" customFormat="1" ht="13.5">
      <c r="B41" s="1900" t="s">
        <v>3375</v>
      </c>
      <c r="C41" s="1872"/>
      <c r="D41" s="1872"/>
      <c r="E41" s="1872"/>
      <c r="F41" s="1872"/>
      <c r="G41" s="1872"/>
      <c r="H41" s="1872"/>
      <c r="I41" s="1872"/>
      <c r="J41" s="1872"/>
      <c r="K41" s="1872"/>
      <c r="L41" s="1872"/>
      <c r="M41" s="1872"/>
      <c r="N41" s="1872"/>
      <c r="O41" s="1872"/>
      <c r="P41" s="1872"/>
      <c r="Q41" s="1901"/>
    </row>
    <row r="42" spans="2:17" s="734" customFormat="1" ht="13.5">
      <c r="B42" s="1900"/>
      <c r="C42" s="1872"/>
      <c r="D42" s="1872"/>
      <c r="E42" s="1872"/>
      <c r="F42" s="1872"/>
      <c r="G42" s="1872"/>
      <c r="H42" s="1872"/>
      <c r="I42" s="1872"/>
      <c r="J42" s="1872"/>
      <c r="K42" s="1872"/>
      <c r="L42" s="1872"/>
      <c r="M42" s="1872"/>
      <c r="N42" s="1872"/>
      <c r="O42" s="1872"/>
      <c r="P42" s="1872"/>
      <c r="Q42" s="1901"/>
    </row>
    <row r="43" spans="2:17" s="734" customFormat="1" ht="13.5">
      <c r="B43" s="782"/>
      <c r="P43" s="733"/>
      <c r="Q43" s="783"/>
    </row>
    <row r="44" spans="2:17" s="734" customFormat="1" ht="13.5">
      <c r="B44" s="782" t="s">
        <v>3376</v>
      </c>
      <c r="G44" s="734" t="s">
        <v>3377</v>
      </c>
      <c r="J44" s="784"/>
      <c r="K44" s="784"/>
      <c r="L44" s="784"/>
      <c r="M44" s="734" t="s">
        <v>375</v>
      </c>
      <c r="P44" s="733"/>
      <c r="Q44" s="783"/>
    </row>
    <row r="45" spans="2:17" s="734" customFormat="1" ht="13.5">
      <c r="B45" s="782" t="s">
        <v>3378</v>
      </c>
      <c r="G45" s="784" t="s">
        <v>3379</v>
      </c>
      <c r="H45" s="784"/>
      <c r="I45" s="784"/>
      <c r="J45" s="784"/>
      <c r="L45" s="733" t="s">
        <v>374</v>
      </c>
      <c r="M45" s="1897"/>
      <c r="N45" s="1897"/>
      <c r="O45" s="1897"/>
      <c r="P45" s="1897"/>
      <c r="Q45" s="785" t="s">
        <v>375</v>
      </c>
    </row>
    <row r="46" spans="2:17" s="734" customFormat="1" ht="13.5">
      <c r="B46" s="782" t="s">
        <v>3380</v>
      </c>
      <c r="G46" s="784" t="s">
        <v>3379</v>
      </c>
      <c r="H46" s="784"/>
      <c r="I46" s="784"/>
      <c r="J46" s="784"/>
      <c r="L46" s="733" t="s">
        <v>374</v>
      </c>
      <c r="M46" s="1897"/>
      <c r="N46" s="1897"/>
      <c r="O46" s="1897"/>
      <c r="P46" s="1897"/>
      <c r="Q46" s="785" t="s">
        <v>375</v>
      </c>
    </row>
    <row r="47" spans="2:17" s="734" customFormat="1" ht="13.5">
      <c r="B47" s="782" t="s">
        <v>3381</v>
      </c>
      <c r="G47" s="784" t="s">
        <v>3379</v>
      </c>
      <c r="H47" s="784"/>
      <c r="I47" s="784"/>
      <c r="J47" s="784"/>
      <c r="L47" s="733" t="s">
        <v>374</v>
      </c>
      <c r="M47" s="1897"/>
      <c r="N47" s="1897"/>
      <c r="O47" s="1897"/>
      <c r="P47" s="1897"/>
      <c r="Q47" s="785" t="s">
        <v>375</v>
      </c>
    </row>
    <row r="48" spans="2:17" s="734" customFormat="1" ht="13.5">
      <c r="B48" s="782" t="s">
        <v>3382</v>
      </c>
      <c r="C48" s="786"/>
      <c r="D48" s="786"/>
      <c r="E48" s="786"/>
      <c r="F48" s="786"/>
      <c r="G48" s="784" t="s">
        <v>3379</v>
      </c>
      <c r="H48" s="787"/>
      <c r="I48" s="787"/>
      <c r="J48" s="787"/>
      <c r="K48" s="786"/>
      <c r="L48" s="733" t="s">
        <v>374</v>
      </c>
      <c r="M48" s="1897"/>
      <c r="N48" s="1897"/>
      <c r="O48" s="1897"/>
      <c r="P48" s="1897"/>
      <c r="Q48" s="785" t="s">
        <v>375</v>
      </c>
    </row>
    <row r="49" spans="2:17" s="734" customFormat="1" ht="9.9499999999999993" customHeight="1">
      <c r="B49" s="788"/>
      <c r="C49" s="786"/>
      <c r="D49" s="786"/>
      <c r="E49" s="786"/>
      <c r="F49" s="786"/>
      <c r="G49" s="786"/>
      <c r="H49" s="786"/>
      <c r="I49" s="786"/>
      <c r="J49" s="786"/>
      <c r="K49" s="786"/>
      <c r="L49" s="786"/>
      <c r="M49" s="786"/>
      <c r="N49" s="786"/>
      <c r="O49" s="786"/>
      <c r="P49" s="786"/>
      <c r="Q49" s="783"/>
    </row>
    <row r="50" spans="2:17" s="734" customFormat="1" ht="14.25" thickBot="1">
      <c r="B50" s="789" t="s">
        <v>3383</v>
      </c>
      <c r="C50" s="790"/>
      <c r="D50" s="790"/>
      <c r="E50" s="790"/>
      <c r="F50" s="790"/>
      <c r="G50" s="790"/>
      <c r="H50" s="790"/>
      <c r="I50" s="790"/>
      <c r="J50" s="790"/>
      <c r="K50" s="790"/>
      <c r="L50" s="790"/>
      <c r="M50" s="790"/>
      <c r="N50" s="790"/>
      <c r="O50" s="790"/>
      <c r="P50" s="790"/>
      <c r="Q50" s="791"/>
    </row>
  </sheetData>
  <mergeCells count="40">
    <mergeCell ref="M46:P46"/>
    <mergeCell ref="M47:P47"/>
    <mergeCell ref="M48:P48"/>
    <mergeCell ref="C34:G34"/>
    <mergeCell ref="L34:Q34"/>
    <mergeCell ref="C35:G35"/>
    <mergeCell ref="B36:C36"/>
    <mergeCell ref="B41:Q42"/>
    <mergeCell ref="M45:P45"/>
    <mergeCell ref="C33:G33"/>
    <mergeCell ref="L33:Q33"/>
    <mergeCell ref="J23:L23"/>
    <mergeCell ref="N23:P23"/>
    <mergeCell ref="J24:L24"/>
    <mergeCell ref="N24:P24"/>
    <mergeCell ref="D26:Q26"/>
    <mergeCell ref="D27:H27"/>
    <mergeCell ref="I28:P28"/>
    <mergeCell ref="D30:E30"/>
    <mergeCell ref="G30:H30"/>
    <mergeCell ref="B31:Q31"/>
    <mergeCell ref="C32:Q32"/>
    <mergeCell ref="B21:Q21"/>
    <mergeCell ref="B10:Q11"/>
    <mergeCell ref="O12:Q12"/>
    <mergeCell ref="B13:J13"/>
    <mergeCell ref="L13:M13"/>
    <mergeCell ref="B14:J14"/>
    <mergeCell ref="L14:M14"/>
    <mergeCell ref="B15:J15"/>
    <mergeCell ref="L15:M15"/>
    <mergeCell ref="B16:J16"/>
    <mergeCell ref="O16:Q16"/>
    <mergeCell ref="B18:Q19"/>
    <mergeCell ref="O1:Q1"/>
    <mergeCell ref="B3:N3"/>
    <mergeCell ref="O3:Q3"/>
    <mergeCell ref="B4:N4"/>
    <mergeCell ref="O4:Q7"/>
    <mergeCell ref="B5:N6"/>
  </mergeCells>
  <phoneticPr fontId="139"/>
  <dataValidations count="1">
    <dataValidation type="list" allowBlank="1" showInputMessage="1" showErrorMessage="1" sqref="K29 K65565 K131101 K196637 K262173 K327709 K393245 K458781 K524317 K589853 K655389 K720925 K786461 K851997 K917533 K983069 M29 M65565 M131101 M196637 M262173 M327709 M393245 M458781 M524317 M589853 M655389 M720925 M786461 M851997 M917533 M983069 JG29 JG65565 JG131101 JG196637 JG262173 JG327709 JG393245 JG458781 JG524317 JG589853 JG655389 JG720925 JG786461 JG851997 JG917533 JG983069 JI29 JI65565 JI131101 JI196637 JI262173 JI327709 JI393245 JI458781 JI524317 JI589853 JI655389 JI720925 JI786461 JI851997 JI917533 JI983069 TC29 TC65565 TC131101 TC196637 TC262173 TC327709 TC393245 TC458781 TC524317 TC589853 TC655389 TC720925 TC786461 TC851997 TC917533 TC983069 TE29 TE65565 TE131101 TE196637 TE262173 TE327709 TE393245 TE458781 TE524317 TE589853 TE655389 TE720925 TE786461 TE851997 TE917533 TE983069 ACY29 ACY65565 ACY131101 ACY196637 ACY262173 ACY327709 ACY393245 ACY458781 ACY524317 ACY589853 ACY655389 ACY720925 ACY786461 ACY851997 ACY917533 ACY983069 ADA29 ADA65565 ADA131101 ADA196637 ADA262173 ADA327709 ADA393245 ADA458781 ADA524317 ADA589853 ADA655389 ADA720925 ADA786461 ADA851997 ADA917533 ADA983069 AMU29 AMU65565 AMU131101 AMU196637 AMU262173 AMU327709 AMU393245 AMU458781 AMU524317 AMU589853 AMU655389 AMU720925 AMU786461 AMU851997 AMU917533 AMU983069 AMW29 AMW65565 AMW131101 AMW196637 AMW262173 AMW327709 AMW393245 AMW458781 AMW524317 AMW589853 AMW655389 AMW720925 AMW786461 AMW851997 AMW917533 AMW983069 AWQ29 AWQ65565 AWQ131101 AWQ196637 AWQ262173 AWQ327709 AWQ393245 AWQ458781 AWQ524317 AWQ589853 AWQ655389 AWQ720925 AWQ786461 AWQ851997 AWQ917533 AWQ983069 AWS29 AWS65565 AWS131101 AWS196637 AWS262173 AWS327709 AWS393245 AWS458781 AWS524317 AWS589853 AWS655389 AWS720925 AWS786461 AWS851997 AWS917533 AWS983069 BGM29 BGM65565 BGM131101 BGM196637 BGM262173 BGM327709 BGM393245 BGM458781 BGM524317 BGM589853 BGM655389 BGM720925 BGM786461 BGM851997 BGM917533 BGM983069 BGO29 BGO65565 BGO131101 BGO196637 BGO262173 BGO327709 BGO393245 BGO458781 BGO524317 BGO589853 BGO655389 BGO720925 BGO786461 BGO851997 BGO917533 BGO983069 BQI29 BQI65565 BQI131101 BQI196637 BQI262173 BQI327709 BQI393245 BQI458781 BQI524317 BQI589853 BQI655389 BQI720925 BQI786461 BQI851997 BQI917533 BQI983069 BQK29 BQK65565 BQK131101 BQK196637 BQK262173 BQK327709 BQK393245 BQK458781 BQK524317 BQK589853 BQK655389 BQK720925 BQK786461 BQK851997 BQK917533 BQK983069 CAE29 CAE65565 CAE131101 CAE196637 CAE262173 CAE327709 CAE393245 CAE458781 CAE524317 CAE589853 CAE655389 CAE720925 CAE786461 CAE851997 CAE917533 CAE983069 CAG29 CAG65565 CAG131101 CAG196637 CAG262173 CAG327709 CAG393245 CAG458781 CAG524317 CAG589853 CAG655389 CAG720925 CAG786461 CAG851997 CAG917533 CAG983069 CKA29 CKA65565 CKA131101 CKA196637 CKA262173 CKA327709 CKA393245 CKA458781 CKA524317 CKA589853 CKA655389 CKA720925 CKA786461 CKA851997 CKA917533 CKA983069 CKC29 CKC65565 CKC131101 CKC196637 CKC262173 CKC327709 CKC393245 CKC458781 CKC524317 CKC589853 CKC655389 CKC720925 CKC786461 CKC851997 CKC917533 CKC983069 CTW29 CTW65565 CTW131101 CTW196637 CTW262173 CTW327709 CTW393245 CTW458781 CTW524317 CTW589853 CTW655389 CTW720925 CTW786461 CTW851997 CTW917533 CTW983069 CTY29 CTY65565 CTY131101 CTY196637 CTY262173 CTY327709 CTY393245 CTY458781 CTY524317 CTY589853 CTY655389 CTY720925 CTY786461 CTY851997 CTY917533 CTY983069 DDS29 DDS65565 DDS131101 DDS196637 DDS262173 DDS327709 DDS393245 DDS458781 DDS524317 DDS589853 DDS655389 DDS720925 DDS786461 DDS851997 DDS917533 DDS983069 DDU29 DDU65565 DDU131101 DDU196637 DDU262173 DDU327709 DDU393245 DDU458781 DDU524317 DDU589853 DDU655389 DDU720925 DDU786461 DDU851997 DDU917533 DDU983069 DNO29 DNO65565 DNO131101 DNO196637 DNO262173 DNO327709 DNO393245 DNO458781 DNO524317 DNO589853 DNO655389 DNO720925 DNO786461 DNO851997 DNO917533 DNO983069 DNQ29 DNQ65565 DNQ131101 DNQ196637 DNQ262173 DNQ327709 DNQ393245 DNQ458781 DNQ524317 DNQ589853 DNQ655389 DNQ720925 DNQ786461 DNQ851997 DNQ917533 DNQ983069 DXK29 DXK65565 DXK131101 DXK196637 DXK262173 DXK327709 DXK393245 DXK458781 DXK524317 DXK589853 DXK655389 DXK720925 DXK786461 DXK851997 DXK917533 DXK983069 DXM29 DXM65565 DXM131101 DXM196637 DXM262173 DXM327709 DXM393245 DXM458781 DXM524317 DXM589853 DXM655389 DXM720925 DXM786461 DXM851997 DXM917533 DXM983069 EHG29 EHG65565 EHG131101 EHG196637 EHG262173 EHG327709 EHG393245 EHG458781 EHG524317 EHG589853 EHG655389 EHG720925 EHG786461 EHG851997 EHG917533 EHG983069 EHI29 EHI65565 EHI131101 EHI196637 EHI262173 EHI327709 EHI393245 EHI458781 EHI524317 EHI589853 EHI655389 EHI720925 EHI786461 EHI851997 EHI917533 EHI983069 ERC29 ERC65565 ERC131101 ERC196637 ERC262173 ERC327709 ERC393245 ERC458781 ERC524317 ERC589853 ERC655389 ERC720925 ERC786461 ERC851997 ERC917533 ERC983069 ERE29 ERE65565 ERE131101 ERE196637 ERE262173 ERE327709 ERE393245 ERE458781 ERE524317 ERE589853 ERE655389 ERE720925 ERE786461 ERE851997 ERE917533 ERE983069 FAY29 FAY65565 FAY131101 FAY196637 FAY262173 FAY327709 FAY393245 FAY458781 FAY524317 FAY589853 FAY655389 FAY720925 FAY786461 FAY851997 FAY917533 FAY983069 FBA29 FBA65565 FBA131101 FBA196637 FBA262173 FBA327709 FBA393245 FBA458781 FBA524317 FBA589853 FBA655389 FBA720925 FBA786461 FBA851997 FBA917533 FBA983069 FKU29 FKU65565 FKU131101 FKU196637 FKU262173 FKU327709 FKU393245 FKU458781 FKU524317 FKU589853 FKU655389 FKU720925 FKU786461 FKU851997 FKU917533 FKU983069 FKW29 FKW65565 FKW131101 FKW196637 FKW262173 FKW327709 FKW393245 FKW458781 FKW524317 FKW589853 FKW655389 FKW720925 FKW786461 FKW851997 FKW917533 FKW983069 FUQ29 FUQ65565 FUQ131101 FUQ196637 FUQ262173 FUQ327709 FUQ393245 FUQ458781 FUQ524317 FUQ589853 FUQ655389 FUQ720925 FUQ786461 FUQ851997 FUQ917533 FUQ983069 FUS29 FUS65565 FUS131101 FUS196637 FUS262173 FUS327709 FUS393245 FUS458781 FUS524317 FUS589853 FUS655389 FUS720925 FUS786461 FUS851997 FUS917533 FUS983069 GEM29 GEM65565 GEM131101 GEM196637 GEM262173 GEM327709 GEM393245 GEM458781 GEM524317 GEM589853 GEM655389 GEM720925 GEM786461 GEM851997 GEM917533 GEM983069 GEO29 GEO65565 GEO131101 GEO196637 GEO262173 GEO327709 GEO393245 GEO458781 GEO524317 GEO589853 GEO655389 GEO720925 GEO786461 GEO851997 GEO917533 GEO983069 GOI29 GOI65565 GOI131101 GOI196637 GOI262173 GOI327709 GOI393245 GOI458781 GOI524317 GOI589853 GOI655389 GOI720925 GOI786461 GOI851997 GOI917533 GOI983069 GOK29 GOK65565 GOK131101 GOK196637 GOK262173 GOK327709 GOK393245 GOK458781 GOK524317 GOK589853 GOK655389 GOK720925 GOK786461 GOK851997 GOK917533 GOK983069 GYE29 GYE65565 GYE131101 GYE196637 GYE262173 GYE327709 GYE393245 GYE458781 GYE524317 GYE589853 GYE655389 GYE720925 GYE786461 GYE851997 GYE917533 GYE983069 GYG29 GYG65565 GYG131101 GYG196637 GYG262173 GYG327709 GYG393245 GYG458781 GYG524317 GYG589853 GYG655389 GYG720925 GYG786461 GYG851997 GYG917533 GYG983069 HIA29 HIA65565 HIA131101 HIA196637 HIA262173 HIA327709 HIA393245 HIA458781 HIA524317 HIA589853 HIA655389 HIA720925 HIA786461 HIA851997 HIA917533 HIA983069 HIC29 HIC65565 HIC131101 HIC196637 HIC262173 HIC327709 HIC393245 HIC458781 HIC524317 HIC589853 HIC655389 HIC720925 HIC786461 HIC851997 HIC917533 HIC983069 HRW29 HRW65565 HRW131101 HRW196637 HRW262173 HRW327709 HRW393245 HRW458781 HRW524317 HRW589853 HRW655389 HRW720925 HRW786461 HRW851997 HRW917533 HRW983069 HRY29 HRY65565 HRY131101 HRY196637 HRY262173 HRY327709 HRY393245 HRY458781 HRY524317 HRY589853 HRY655389 HRY720925 HRY786461 HRY851997 HRY917533 HRY983069 IBS29 IBS65565 IBS131101 IBS196637 IBS262173 IBS327709 IBS393245 IBS458781 IBS524317 IBS589853 IBS655389 IBS720925 IBS786461 IBS851997 IBS917533 IBS983069 IBU29 IBU65565 IBU131101 IBU196637 IBU262173 IBU327709 IBU393245 IBU458781 IBU524317 IBU589853 IBU655389 IBU720925 IBU786461 IBU851997 IBU917533 IBU983069 ILO29 ILO65565 ILO131101 ILO196637 ILO262173 ILO327709 ILO393245 ILO458781 ILO524317 ILO589853 ILO655389 ILO720925 ILO786461 ILO851997 ILO917533 ILO983069 ILQ29 ILQ65565 ILQ131101 ILQ196637 ILQ262173 ILQ327709 ILQ393245 ILQ458781 ILQ524317 ILQ589853 ILQ655389 ILQ720925 ILQ786461 ILQ851997 ILQ917533 ILQ983069 IVK29 IVK65565 IVK131101 IVK196637 IVK262173 IVK327709 IVK393245 IVK458781 IVK524317 IVK589853 IVK655389 IVK720925 IVK786461 IVK851997 IVK917533 IVK983069 IVM29 IVM65565 IVM131101 IVM196637 IVM262173 IVM327709 IVM393245 IVM458781 IVM524317 IVM589853 IVM655389 IVM720925 IVM786461 IVM851997 IVM917533 IVM983069 JFG29 JFG65565 JFG131101 JFG196637 JFG262173 JFG327709 JFG393245 JFG458781 JFG524317 JFG589853 JFG655389 JFG720925 JFG786461 JFG851997 JFG917533 JFG983069 JFI29 JFI65565 JFI131101 JFI196637 JFI262173 JFI327709 JFI393245 JFI458781 JFI524317 JFI589853 JFI655389 JFI720925 JFI786461 JFI851997 JFI917533 JFI983069 JPC29 JPC65565 JPC131101 JPC196637 JPC262173 JPC327709 JPC393245 JPC458781 JPC524317 JPC589853 JPC655389 JPC720925 JPC786461 JPC851997 JPC917533 JPC983069 JPE29 JPE65565 JPE131101 JPE196637 JPE262173 JPE327709 JPE393245 JPE458781 JPE524317 JPE589853 JPE655389 JPE720925 JPE786461 JPE851997 JPE917533 JPE983069 JYY29 JYY65565 JYY131101 JYY196637 JYY262173 JYY327709 JYY393245 JYY458781 JYY524317 JYY589853 JYY655389 JYY720925 JYY786461 JYY851997 JYY917533 JYY983069 JZA29 JZA65565 JZA131101 JZA196637 JZA262173 JZA327709 JZA393245 JZA458781 JZA524317 JZA589853 JZA655389 JZA720925 JZA786461 JZA851997 JZA917533 JZA983069 KIU29 KIU65565 KIU131101 KIU196637 KIU262173 KIU327709 KIU393245 KIU458781 KIU524317 KIU589853 KIU655389 KIU720925 KIU786461 KIU851997 KIU917533 KIU983069 KIW29 KIW65565 KIW131101 KIW196637 KIW262173 KIW327709 KIW393245 KIW458781 KIW524317 KIW589853 KIW655389 KIW720925 KIW786461 KIW851997 KIW917533 KIW983069 KSQ29 KSQ65565 KSQ131101 KSQ196637 KSQ262173 KSQ327709 KSQ393245 KSQ458781 KSQ524317 KSQ589853 KSQ655389 KSQ720925 KSQ786461 KSQ851997 KSQ917533 KSQ983069 KSS29 KSS65565 KSS131101 KSS196637 KSS262173 KSS327709 KSS393245 KSS458781 KSS524317 KSS589853 KSS655389 KSS720925 KSS786461 KSS851997 KSS917533 KSS983069 LCM29 LCM65565 LCM131101 LCM196637 LCM262173 LCM327709 LCM393245 LCM458781 LCM524317 LCM589853 LCM655389 LCM720925 LCM786461 LCM851997 LCM917533 LCM983069 LCO29 LCO65565 LCO131101 LCO196637 LCO262173 LCO327709 LCO393245 LCO458781 LCO524317 LCO589853 LCO655389 LCO720925 LCO786461 LCO851997 LCO917533 LCO983069 LMI29 LMI65565 LMI131101 LMI196637 LMI262173 LMI327709 LMI393245 LMI458781 LMI524317 LMI589853 LMI655389 LMI720925 LMI786461 LMI851997 LMI917533 LMI983069 LMK29 LMK65565 LMK131101 LMK196637 LMK262173 LMK327709 LMK393245 LMK458781 LMK524317 LMK589853 LMK655389 LMK720925 LMK786461 LMK851997 LMK917533 LMK983069 LWE29 LWE65565 LWE131101 LWE196637 LWE262173 LWE327709 LWE393245 LWE458781 LWE524317 LWE589853 LWE655389 LWE720925 LWE786461 LWE851997 LWE917533 LWE983069 LWG29 LWG65565 LWG131101 LWG196637 LWG262173 LWG327709 LWG393245 LWG458781 LWG524317 LWG589853 LWG655389 LWG720925 LWG786461 LWG851997 LWG917533 LWG983069 MGA29 MGA65565 MGA131101 MGA196637 MGA262173 MGA327709 MGA393245 MGA458781 MGA524317 MGA589853 MGA655389 MGA720925 MGA786461 MGA851997 MGA917533 MGA983069 MGC29 MGC65565 MGC131101 MGC196637 MGC262173 MGC327709 MGC393245 MGC458781 MGC524317 MGC589853 MGC655389 MGC720925 MGC786461 MGC851997 MGC917533 MGC983069 MPW29 MPW65565 MPW131101 MPW196637 MPW262173 MPW327709 MPW393245 MPW458781 MPW524317 MPW589853 MPW655389 MPW720925 MPW786461 MPW851997 MPW917533 MPW983069 MPY29 MPY65565 MPY131101 MPY196637 MPY262173 MPY327709 MPY393245 MPY458781 MPY524317 MPY589853 MPY655389 MPY720925 MPY786461 MPY851997 MPY917533 MPY983069 MZS29 MZS65565 MZS131101 MZS196637 MZS262173 MZS327709 MZS393245 MZS458781 MZS524317 MZS589853 MZS655389 MZS720925 MZS786461 MZS851997 MZS917533 MZS983069 MZU29 MZU65565 MZU131101 MZU196637 MZU262173 MZU327709 MZU393245 MZU458781 MZU524317 MZU589853 MZU655389 MZU720925 MZU786461 MZU851997 MZU917533 MZU983069 NJO29 NJO65565 NJO131101 NJO196637 NJO262173 NJO327709 NJO393245 NJO458781 NJO524317 NJO589853 NJO655389 NJO720925 NJO786461 NJO851997 NJO917533 NJO983069 NJQ29 NJQ65565 NJQ131101 NJQ196637 NJQ262173 NJQ327709 NJQ393245 NJQ458781 NJQ524317 NJQ589853 NJQ655389 NJQ720925 NJQ786461 NJQ851997 NJQ917533 NJQ983069 NTK29 NTK65565 NTK131101 NTK196637 NTK262173 NTK327709 NTK393245 NTK458781 NTK524317 NTK589853 NTK655389 NTK720925 NTK786461 NTK851997 NTK917533 NTK983069 NTM29 NTM65565 NTM131101 NTM196637 NTM262173 NTM327709 NTM393245 NTM458781 NTM524317 NTM589853 NTM655389 NTM720925 NTM786461 NTM851997 NTM917533 NTM983069 ODG29 ODG65565 ODG131101 ODG196637 ODG262173 ODG327709 ODG393245 ODG458781 ODG524317 ODG589853 ODG655389 ODG720925 ODG786461 ODG851997 ODG917533 ODG983069 ODI29 ODI65565 ODI131101 ODI196637 ODI262173 ODI327709 ODI393245 ODI458781 ODI524317 ODI589853 ODI655389 ODI720925 ODI786461 ODI851997 ODI917533 ODI983069 ONC29 ONC65565 ONC131101 ONC196637 ONC262173 ONC327709 ONC393245 ONC458781 ONC524317 ONC589853 ONC655389 ONC720925 ONC786461 ONC851997 ONC917533 ONC983069 ONE29 ONE65565 ONE131101 ONE196637 ONE262173 ONE327709 ONE393245 ONE458781 ONE524317 ONE589853 ONE655389 ONE720925 ONE786461 ONE851997 ONE917533 ONE983069 OWY29 OWY65565 OWY131101 OWY196637 OWY262173 OWY327709 OWY393245 OWY458781 OWY524317 OWY589853 OWY655389 OWY720925 OWY786461 OWY851997 OWY917533 OWY983069 OXA29 OXA65565 OXA131101 OXA196637 OXA262173 OXA327709 OXA393245 OXA458781 OXA524317 OXA589853 OXA655389 OXA720925 OXA786461 OXA851997 OXA917533 OXA983069 PGU29 PGU65565 PGU131101 PGU196637 PGU262173 PGU327709 PGU393245 PGU458781 PGU524317 PGU589853 PGU655389 PGU720925 PGU786461 PGU851997 PGU917533 PGU983069 PGW29 PGW65565 PGW131101 PGW196637 PGW262173 PGW327709 PGW393245 PGW458781 PGW524317 PGW589853 PGW655389 PGW720925 PGW786461 PGW851997 PGW917533 PGW983069 PQQ29 PQQ65565 PQQ131101 PQQ196637 PQQ262173 PQQ327709 PQQ393245 PQQ458781 PQQ524317 PQQ589853 PQQ655389 PQQ720925 PQQ786461 PQQ851997 PQQ917533 PQQ983069 PQS29 PQS65565 PQS131101 PQS196637 PQS262173 PQS327709 PQS393245 PQS458781 PQS524317 PQS589853 PQS655389 PQS720925 PQS786461 PQS851997 PQS917533 PQS983069 QAM29 QAM65565 QAM131101 QAM196637 QAM262173 QAM327709 QAM393245 QAM458781 QAM524317 QAM589853 QAM655389 QAM720925 QAM786461 QAM851997 QAM917533 QAM983069 QAO29 QAO65565 QAO131101 QAO196637 QAO262173 QAO327709 QAO393245 QAO458781 QAO524317 QAO589853 QAO655389 QAO720925 QAO786461 QAO851997 QAO917533 QAO983069 QKI29 QKI65565 QKI131101 QKI196637 QKI262173 QKI327709 QKI393245 QKI458781 QKI524317 QKI589853 QKI655389 QKI720925 QKI786461 QKI851997 QKI917533 QKI983069 QKK29 QKK65565 QKK131101 QKK196637 QKK262173 QKK327709 QKK393245 QKK458781 QKK524317 QKK589853 QKK655389 QKK720925 QKK786461 QKK851997 QKK917533 QKK983069 QUE29 QUE65565 QUE131101 QUE196637 QUE262173 QUE327709 QUE393245 QUE458781 QUE524317 QUE589853 QUE655389 QUE720925 QUE786461 QUE851997 QUE917533 QUE983069 QUG29 QUG65565 QUG131101 QUG196637 QUG262173 QUG327709 QUG393245 QUG458781 QUG524317 QUG589853 QUG655389 QUG720925 QUG786461 QUG851997 QUG917533 QUG983069 REA29 REA65565 REA131101 REA196637 REA262173 REA327709 REA393245 REA458781 REA524317 REA589853 REA655389 REA720925 REA786461 REA851997 REA917533 REA983069 REC29 REC65565 REC131101 REC196637 REC262173 REC327709 REC393245 REC458781 REC524317 REC589853 REC655389 REC720925 REC786461 REC851997 REC917533 REC983069 RNW29 RNW65565 RNW131101 RNW196637 RNW262173 RNW327709 RNW393245 RNW458781 RNW524317 RNW589853 RNW655389 RNW720925 RNW786461 RNW851997 RNW917533 RNW983069 RNY29 RNY65565 RNY131101 RNY196637 RNY262173 RNY327709 RNY393245 RNY458781 RNY524317 RNY589853 RNY655389 RNY720925 RNY786461 RNY851997 RNY917533 RNY983069 RXS29 RXS65565 RXS131101 RXS196637 RXS262173 RXS327709 RXS393245 RXS458781 RXS524317 RXS589853 RXS655389 RXS720925 RXS786461 RXS851997 RXS917533 RXS983069 RXU29 RXU65565 RXU131101 RXU196637 RXU262173 RXU327709 RXU393245 RXU458781 RXU524317 RXU589853 RXU655389 RXU720925 RXU786461 RXU851997 RXU917533 RXU983069 SHO29 SHO65565 SHO131101 SHO196637 SHO262173 SHO327709 SHO393245 SHO458781 SHO524317 SHO589853 SHO655389 SHO720925 SHO786461 SHO851997 SHO917533 SHO983069 SHQ29 SHQ65565 SHQ131101 SHQ196637 SHQ262173 SHQ327709 SHQ393245 SHQ458781 SHQ524317 SHQ589853 SHQ655389 SHQ720925 SHQ786461 SHQ851997 SHQ917533 SHQ983069 SRK29 SRK65565 SRK131101 SRK196637 SRK262173 SRK327709 SRK393245 SRK458781 SRK524317 SRK589853 SRK655389 SRK720925 SRK786461 SRK851997 SRK917533 SRK983069 SRM29 SRM65565 SRM131101 SRM196637 SRM262173 SRM327709 SRM393245 SRM458781 SRM524317 SRM589853 SRM655389 SRM720925 SRM786461 SRM851997 SRM917533 SRM983069 TBG29 TBG65565 TBG131101 TBG196637 TBG262173 TBG327709 TBG393245 TBG458781 TBG524317 TBG589853 TBG655389 TBG720925 TBG786461 TBG851997 TBG917533 TBG983069 TBI29 TBI65565 TBI131101 TBI196637 TBI262173 TBI327709 TBI393245 TBI458781 TBI524317 TBI589853 TBI655389 TBI720925 TBI786461 TBI851997 TBI917533 TBI983069 TLC29 TLC65565 TLC131101 TLC196637 TLC262173 TLC327709 TLC393245 TLC458781 TLC524317 TLC589853 TLC655389 TLC720925 TLC786461 TLC851997 TLC917533 TLC983069 TLE29 TLE65565 TLE131101 TLE196637 TLE262173 TLE327709 TLE393245 TLE458781 TLE524317 TLE589853 TLE655389 TLE720925 TLE786461 TLE851997 TLE917533 TLE983069 TUY29 TUY65565 TUY131101 TUY196637 TUY262173 TUY327709 TUY393245 TUY458781 TUY524317 TUY589853 TUY655389 TUY720925 TUY786461 TUY851997 TUY917533 TUY983069 TVA29 TVA65565 TVA131101 TVA196637 TVA262173 TVA327709 TVA393245 TVA458781 TVA524317 TVA589853 TVA655389 TVA720925 TVA786461 TVA851997 TVA917533 TVA983069 UEU29 UEU65565 UEU131101 UEU196637 UEU262173 UEU327709 UEU393245 UEU458781 UEU524317 UEU589853 UEU655389 UEU720925 UEU786461 UEU851997 UEU917533 UEU983069 UEW29 UEW65565 UEW131101 UEW196637 UEW262173 UEW327709 UEW393245 UEW458781 UEW524317 UEW589853 UEW655389 UEW720925 UEW786461 UEW851997 UEW917533 UEW983069 UOQ29 UOQ65565 UOQ131101 UOQ196637 UOQ262173 UOQ327709 UOQ393245 UOQ458781 UOQ524317 UOQ589853 UOQ655389 UOQ720925 UOQ786461 UOQ851997 UOQ917533 UOQ983069 UOS29 UOS65565 UOS131101 UOS196637 UOS262173 UOS327709 UOS393245 UOS458781 UOS524317 UOS589853 UOS655389 UOS720925 UOS786461 UOS851997 UOS917533 UOS983069 UYM29 UYM65565 UYM131101 UYM196637 UYM262173 UYM327709 UYM393245 UYM458781 UYM524317 UYM589853 UYM655389 UYM720925 UYM786461 UYM851997 UYM917533 UYM983069 UYO29 UYO65565 UYO131101 UYO196637 UYO262173 UYO327709 UYO393245 UYO458781 UYO524317 UYO589853 UYO655389 UYO720925 UYO786461 UYO851997 UYO917533 UYO983069 VII29 VII65565 VII131101 VII196637 VII262173 VII327709 VII393245 VII458781 VII524317 VII589853 VII655389 VII720925 VII786461 VII851997 VII917533 VII983069 VIK29 VIK65565 VIK131101 VIK196637 VIK262173 VIK327709 VIK393245 VIK458781 VIK524317 VIK589853 VIK655389 VIK720925 VIK786461 VIK851997 VIK917533 VIK983069 VSE29 VSE65565 VSE131101 VSE196637 VSE262173 VSE327709 VSE393245 VSE458781 VSE524317 VSE589853 VSE655389 VSE720925 VSE786461 VSE851997 VSE917533 VSE983069 VSG29 VSG65565 VSG131101 VSG196637 VSG262173 VSG327709 VSG393245 VSG458781 VSG524317 VSG589853 VSG655389 VSG720925 VSG786461 VSG851997 VSG917533 VSG983069 WCA29 WCA65565 WCA131101 WCA196637 WCA262173 WCA327709 WCA393245 WCA458781 WCA524317 WCA589853 WCA655389 WCA720925 WCA786461 WCA851997 WCA917533 WCA983069 WCC29 WCC65565 WCC131101 WCC196637 WCC262173 WCC327709 WCC393245 WCC458781 WCC524317 WCC589853 WCC655389 WCC720925 WCC786461 WCC851997 WCC917533 WCC983069 WLW29 WLW65565 WLW131101 WLW196637 WLW262173 WLW327709 WLW393245 WLW458781 WLW524317 WLW589853 WLW655389 WLW720925 WLW786461 WLW851997 WLW917533 WLW983069 WLY29 WLY65565 WLY131101 WLY196637 WLY262173 WLY327709 WLY393245 WLY458781 WLY524317 WLY589853 WLY655389 WLY720925 WLY786461 WLY851997 WLY917533 WLY983069 WVS29 WVS65565 WVS131101 WVS196637 WVS262173 WVS327709 WVS393245 WVS458781 WVS524317 WVS589853 WVS655389 WVS720925 WVS786461 WVS851997 WVS917533 WVS983069 WVU29 WVU65565 WVU131101 WVU196637 WVU262173 WVU327709 WVU393245 WVU458781 WVU524317 WVU589853 WVU655389 WVU720925 WVU786461 WVU851997 WVU917533 WVU983069" xr:uid="{00000000-0002-0000-1C00-000000000000}">
      <formula1>#REF!</formula1>
    </dataValidation>
  </dataValidations>
  <hyperlinks>
    <hyperlink ref="O16" r:id="rId1" xr:uid="{00000000-0004-0000-1C00-000000000000}"/>
  </hyperlinks>
  <pageMargins left="0.59055118110236227" right="0.59055118110236227" top="0.19685039370078741" bottom="0.19685039370078741" header="0.31496062992125984" footer="0.31496062992125984"/>
  <pageSetup paperSize="9" scale="96"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ltText="">
                <anchor moveWithCells="1">
                  <from>
                    <xdr:col>3</xdr:col>
                    <xdr:colOff>0</xdr:colOff>
                    <xdr:row>22</xdr:row>
                    <xdr:rowOff>66675</xdr:rowOff>
                  </from>
                  <to>
                    <xdr:col>3</xdr:col>
                    <xdr:colOff>0</xdr:colOff>
                    <xdr:row>22</xdr:row>
                    <xdr:rowOff>66675</xdr:rowOff>
                  </to>
                </anchor>
              </controlPr>
            </control>
          </mc:Choice>
        </mc:AlternateContent>
        <mc:AlternateContent xmlns:mc="http://schemas.openxmlformats.org/markup-compatibility/2006">
          <mc:Choice Requires="x14">
            <control shapeId="48130" r:id="rId6" name="Check Box 2">
              <controlPr defaultSize="0" autoFill="0" autoLine="0" autoPict="0" altText="">
                <anchor moveWithCells="1">
                  <from>
                    <xdr:col>3</xdr:col>
                    <xdr:colOff>0</xdr:colOff>
                    <xdr:row>23</xdr:row>
                    <xdr:rowOff>66675</xdr:rowOff>
                  </from>
                  <to>
                    <xdr:col>3</xdr:col>
                    <xdr:colOff>0</xdr:colOff>
                    <xdr:row>23</xdr:row>
                    <xdr:rowOff>247650</xdr:rowOff>
                  </to>
                </anchor>
              </controlPr>
            </control>
          </mc:Choice>
        </mc:AlternateContent>
        <mc:AlternateContent xmlns:mc="http://schemas.openxmlformats.org/markup-compatibility/2006">
          <mc:Choice Requires="x14">
            <control shapeId="48131" r:id="rId7" name="Check Box 3">
              <controlPr defaultSize="0" autoFill="0" autoLine="0" autoPict="0" altText="">
                <anchor moveWithCells="1">
                  <from>
                    <xdr:col>1</xdr:col>
                    <xdr:colOff>457200</xdr:colOff>
                    <xdr:row>24</xdr:row>
                    <xdr:rowOff>66675</xdr:rowOff>
                  </from>
                  <to>
                    <xdr:col>1</xdr:col>
                    <xdr:colOff>457200</xdr:colOff>
                    <xdr:row>24</xdr:row>
                    <xdr:rowOff>247650</xdr:rowOff>
                  </to>
                </anchor>
              </controlPr>
            </control>
          </mc:Choice>
        </mc:AlternateContent>
        <mc:AlternateContent xmlns:mc="http://schemas.openxmlformats.org/markup-compatibility/2006">
          <mc:Choice Requires="x14">
            <control shapeId="48132" r:id="rId8" name="Check Box 4">
              <controlPr defaultSize="0" autoFill="0" autoLine="0" autoPict="0" altText="">
                <anchor moveWithCells="1">
                  <from>
                    <xdr:col>2</xdr:col>
                    <xdr:colOff>171450</xdr:colOff>
                    <xdr:row>29</xdr:row>
                    <xdr:rowOff>57150</xdr:rowOff>
                  </from>
                  <to>
                    <xdr:col>3</xdr:col>
                    <xdr:colOff>66675</xdr:colOff>
                    <xdr:row>29</xdr:row>
                    <xdr:rowOff>266700</xdr:rowOff>
                  </to>
                </anchor>
              </controlPr>
            </control>
          </mc:Choice>
        </mc:AlternateContent>
        <mc:AlternateContent xmlns:mc="http://schemas.openxmlformats.org/markup-compatibility/2006">
          <mc:Choice Requires="x14">
            <control shapeId="48133" r:id="rId9" name="Check Box 5">
              <controlPr defaultSize="0" autoFill="0" autoLine="0" autoPict="0" altText="">
                <anchor moveWithCells="1">
                  <from>
                    <xdr:col>5</xdr:col>
                    <xdr:colOff>171450</xdr:colOff>
                    <xdr:row>29</xdr:row>
                    <xdr:rowOff>57150</xdr:rowOff>
                  </from>
                  <to>
                    <xdr:col>6</xdr:col>
                    <xdr:colOff>66675</xdr:colOff>
                    <xdr:row>29</xdr:row>
                    <xdr:rowOff>266700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5117038483843"/>
  </sheetPr>
  <dimension ref="A1:AX413"/>
  <sheetViews>
    <sheetView workbookViewId="0">
      <selection activeCell="E358" sqref="E358"/>
    </sheetView>
  </sheetViews>
  <sheetFormatPr defaultColWidth="3.625" defaultRowHeight="15" customHeight="1"/>
  <cols>
    <col min="1" max="33" width="3.625" style="792" customWidth="1"/>
    <col min="34" max="34" width="13.125" style="792" customWidth="1"/>
    <col min="35" max="41" width="3.625" style="792" customWidth="1"/>
    <col min="42" max="42" width="3.75" style="792" customWidth="1"/>
    <col min="43" max="289" width="3.625" style="792" customWidth="1"/>
    <col min="290" max="290" width="13.125" style="792" customWidth="1"/>
    <col min="291" max="545" width="3.625" style="792" customWidth="1"/>
    <col min="546" max="546" width="13.125" style="792" customWidth="1"/>
    <col min="547" max="801" width="3.625" style="792" customWidth="1"/>
    <col min="802" max="802" width="13.125" style="792" customWidth="1"/>
    <col min="803" max="1057" width="3.625" style="792" customWidth="1"/>
    <col min="1058" max="1058" width="13.125" style="792" customWidth="1"/>
    <col min="1059" max="1313" width="3.625" style="792" customWidth="1"/>
    <col min="1314" max="1314" width="13.125" style="792" customWidth="1"/>
    <col min="1315" max="1569" width="3.625" style="792" customWidth="1"/>
    <col min="1570" max="1570" width="13.125" style="792" customWidth="1"/>
    <col min="1571" max="1825" width="3.625" style="792" customWidth="1"/>
    <col min="1826" max="1826" width="13.125" style="792" customWidth="1"/>
    <col min="1827" max="2081" width="3.625" style="792" customWidth="1"/>
    <col min="2082" max="2082" width="13.125" style="792" customWidth="1"/>
    <col min="2083" max="2337" width="3.625" style="792" customWidth="1"/>
    <col min="2338" max="2338" width="13.125" style="792" customWidth="1"/>
    <col min="2339" max="2593" width="3.625" style="792" customWidth="1"/>
    <col min="2594" max="2594" width="13.125" style="792" customWidth="1"/>
    <col min="2595" max="2849" width="3.625" style="792" customWidth="1"/>
    <col min="2850" max="2850" width="13.125" style="792" customWidth="1"/>
    <col min="2851" max="3105" width="3.625" style="792" customWidth="1"/>
    <col min="3106" max="3106" width="13.125" style="792" customWidth="1"/>
    <col min="3107" max="3361" width="3.625" style="792" customWidth="1"/>
    <col min="3362" max="3362" width="13.125" style="792" customWidth="1"/>
    <col min="3363" max="3617" width="3.625" style="792" customWidth="1"/>
    <col min="3618" max="3618" width="13.125" style="792" customWidth="1"/>
    <col min="3619" max="3873" width="3.625" style="792" customWidth="1"/>
    <col min="3874" max="3874" width="13.125" style="792" customWidth="1"/>
    <col min="3875" max="4129" width="3.625" style="792" customWidth="1"/>
    <col min="4130" max="4130" width="13.125" style="792" customWidth="1"/>
    <col min="4131" max="4385" width="3.625" style="792" customWidth="1"/>
    <col min="4386" max="4386" width="13.125" style="792" customWidth="1"/>
    <col min="4387" max="4641" width="3.625" style="792" customWidth="1"/>
    <col min="4642" max="4642" width="13.125" style="792" customWidth="1"/>
    <col min="4643" max="4897" width="3.625" style="792" customWidth="1"/>
    <col min="4898" max="4898" width="13.125" style="792" customWidth="1"/>
    <col min="4899" max="5153" width="3.625" style="792" customWidth="1"/>
    <col min="5154" max="5154" width="13.125" style="792" customWidth="1"/>
    <col min="5155" max="5409" width="3.625" style="792" customWidth="1"/>
    <col min="5410" max="5410" width="13.125" style="792" customWidth="1"/>
    <col min="5411" max="5665" width="3.625" style="792" customWidth="1"/>
    <col min="5666" max="5666" width="13.125" style="792" customWidth="1"/>
    <col min="5667" max="5921" width="3.625" style="792" customWidth="1"/>
    <col min="5922" max="5922" width="13.125" style="792" customWidth="1"/>
    <col min="5923" max="6177" width="3.625" style="792" customWidth="1"/>
    <col min="6178" max="6178" width="13.125" style="792" customWidth="1"/>
    <col min="6179" max="6433" width="3.625" style="792" customWidth="1"/>
    <col min="6434" max="6434" width="13.125" style="792" customWidth="1"/>
    <col min="6435" max="6689" width="3.625" style="792" customWidth="1"/>
    <col min="6690" max="6690" width="13.125" style="792" customWidth="1"/>
    <col min="6691" max="6945" width="3.625" style="792" customWidth="1"/>
    <col min="6946" max="6946" width="13.125" style="792" customWidth="1"/>
    <col min="6947" max="7201" width="3.625" style="792" customWidth="1"/>
    <col min="7202" max="7202" width="13.125" style="792" customWidth="1"/>
    <col min="7203" max="7457" width="3.625" style="792" customWidth="1"/>
    <col min="7458" max="7458" width="13.125" style="792" customWidth="1"/>
    <col min="7459" max="7713" width="3.625" style="792" customWidth="1"/>
    <col min="7714" max="7714" width="13.125" style="792" customWidth="1"/>
    <col min="7715" max="7969" width="3.625" style="792" customWidth="1"/>
    <col min="7970" max="7970" width="13.125" style="792" customWidth="1"/>
    <col min="7971" max="8225" width="3.625" style="792" customWidth="1"/>
    <col min="8226" max="8226" width="13.125" style="792" customWidth="1"/>
    <col min="8227" max="8481" width="3.625" style="792" customWidth="1"/>
    <col min="8482" max="8482" width="13.125" style="792" customWidth="1"/>
    <col min="8483" max="8737" width="3.625" style="792" customWidth="1"/>
    <col min="8738" max="8738" width="13.125" style="792" customWidth="1"/>
    <col min="8739" max="8993" width="3.625" style="792" customWidth="1"/>
    <col min="8994" max="8994" width="13.125" style="792" customWidth="1"/>
    <col min="8995" max="9249" width="3.625" style="792" customWidth="1"/>
    <col min="9250" max="9250" width="13.125" style="792" customWidth="1"/>
    <col min="9251" max="9505" width="3.625" style="792" customWidth="1"/>
    <col min="9506" max="9506" width="13.125" style="792" customWidth="1"/>
    <col min="9507" max="9761" width="3.625" style="792" customWidth="1"/>
    <col min="9762" max="9762" width="13.125" style="792" customWidth="1"/>
    <col min="9763" max="10017" width="3.625" style="792" customWidth="1"/>
    <col min="10018" max="10018" width="13.125" style="792" customWidth="1"/>
    <col min="10019" max="10273" width="3.625" style="792" customWidth="1"/>
    <col min="10274" max="10274" width="13.125" style="792" customWidth="1"/>
    <col min="10275" max="10529" width="3.625" style="792" customWidth="1"/>
    <col min="10530" max="10530" width="13.125" style="792" customWidth="1"/>
    <col min="10531" max="10785" width="3.625" style="792" customWidth="1"/>
    <col min="10786" max="10786" width="13.125" style="792" customWidth="1"/>
    <col min="10787" max="11041" width="3.625" style="792" customWidth="1"/>
    <col min="11042" max="11042" width="13.125" style="792" customWidth="1"/>
    <col min="11043" max="11297" width="3.625" style="792" customWidth="1"/>
    <col min="11298" max="11298" width="13.125" style="792" customWidth="1"/>
    <col min="11299" max="11553" width="3.625" style="792" customWidth="1"/>
    <col min="11554" max="11554" width="13.125" style="792" customWidth="1"/>
    <col min="11555" max="11809" width="3.625" style="792" customWidth="1"/>
    <col min="11810" max="11810" width="13.125" style="792" customWidth="1"/>
    <col min="11811" max="12065" width="3.625" style="792" customWidth="1"/>
    <col min="12066" max="12066" width="13.125" style="792" customWidth="1"/>
    <col min="12067" max="12321" width="3.625" style="792" customWidth="1"/>
    <col min="12322" max="12322" width="13.125" style="792" customWidth="1"/>
    <col min="12323" max="12577" width="3.625" style="792" customWidth="1"/>
    <col min="12578" max="12578" width="13.125" style="792" customWidth="1"/>
    <col min="12579" max="12833" width="3.625" style="792" customWidth="1"/>
    <col min="12834" max="12834" width="13.125" style="792" customWidth="1"/>
    <col min="12835" max="13089" width="3.625" style="792" customWidth="1"/>
    <col min="13090" max="13090" width="13.125" style="792" customWidth="1"/>
    <col min="13091" max="13345" width="3.625" style="792" customWidth="1"/>
    <col min="13346" max="13346" width="13.125" style="792" customWidth="1"/>
    <col min="13347" max="13601" width="3.625" style="792" customWidth="1"/>
    <col min="13602" max="13602" width="13.125" style="792" customWidth="1"/>
    <col min="13603" max="13857" width="3.625" style="792" customWidth="1"/>
    <col min="13858" max="13858" width="13.125" style="792" customWidth="1"/>
    <col min="13859" max="14113" width="3.625" style="792" customWidth="1"/>
    <col min="14114" max="14114" width="13.125" style="792" customWidth="1"/>
    <col min="14115" max="14369" width="3.625" style="792" customWidth="1"/>
    <col min="14370" max="14370" width="13.125" style="792" customWidth="1"/>
    <col min="14371" max="14625" width="3.625" style="792" customWidth="1"/>
    <col min="14626" max="14626" width="13.125" style="792" customWidth="1"/>
    <col min="14627" max="14881" width="3.625" style="792" customWidth="1"/>
    <col min="14882" max="14882" width="13.125" style="792" customWidth="1"/>
    <col min="14883" max="15137" width="3.625" style="792" customWidth="1"/>
    <col min="15138" max="15138" width="13.125" style="792" customWidth="1"/>
    <col min="15139" max="15393" width="3.625" style="792" customWidth="1"/>
    <col min="15394" max="15394" width="13.125" style="792" customWidth="1"/>
    <col min="15395" max="15649" width="3.625" style="792" customWidth="1"/>
    <col min="15650" max="15650" width="13.125" style="792" customWidth="1"/>
    <col min="15651" max="15905" width="3.625" style="792" customWidth="1"/>
    <col min="15906" max="15906" width="13.125" style="792" customWidth="1"/>
    <col min="15907" max="16161" width="3.625" style="792" customWidth="1"/>
    <col min="16162" max="16162" width="13.125" style="792" customWidth="1"/>
    <col min="16163" max="16384" width="3.625" style="792" customWidth="1"/>
  </cols>
  <sheetData>
    <row r="1" spans="1:41" ht="13.5">
      <c r="A1" s="1902" t="s">
        <v>3384</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AH1" s="793" t="s">
        <v>3093</v>
      </c>
      <c r="AI1" s="793"/>
      <c r="AJ1" s="733"/>
    </row>
    <row r="2" spans="1:41" ht="12">
      <c r="AH2" s="794" t="s">
        <v>2845</v>
      </c>
      <c r="AI2" s="793"/>
      <c r="AJ2" s="795"/>
    </row>
    <row r="3" spans="1:41" ht="13.5">
      <c r="AH3" s="796" t="str">
        <f>HYPERLINK("#A1：X46")</f>
        <v>#A1：X46</v>
      </c>
      <c r="AI3" s="797" t="s">
        <v>2723</v>
      </c>
      <c r="AJ3" s="798"/>
      <c r="AK3" s="799"/>
      <c r="AL3" s="799"/>
      <c r="AM3" s="799"/>
      <c r="AN3" s="799"/>
      <c r="AO3" s="799"/>
    </row>
    <row r="4" spans="1:41" ht="13.5">
      <c r="A4" s="1903" t="s">
        <v>2814</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AH4" s="796" t="str">
        <f>HYPERLINK("#A47：X100")</f>
        <v>#A47：X100</v>
      </c>
      <c r="AI4" s="800" t="s">
        <v>2726</v>
      </c>
      <c r="AJ4" s="560"/>
      <c r="AK4" s="561"/>
      <c r="AL4" s="561"/>
      <c r="AM4" s="561"/>
      <c r="AN4" s="561"/>
      <c r="AO4" s="801"/>
    </row>
    <row r="5" spans="1:41" ht="13.5">
      <c r="A5" s="1903"/>
      <c r="B5" s="1903"/>
      <c r="C5" s="1903"/>
      <c r="D5" s="1903"/>
      <c r="E5" s="1903"/>
      <c r="F5" s="1903"/>
      <c r="G5" s="1903"/>
      <c r="H5" s="1903"/>
      <c r="I5" s="1903"/>
      <c r="J5" s="1903"/>
      <c r="K5" s="1903"/>
      <c r="L5" s="1903"/>
      <c r="M5" s="1903"/>
      <c r="N5" s="1903"/>
      <c r="O5" s="1903"/>
      <c r="P5" s="1903"/>
      <c r="Q5" s="1903"/>
      <c r="R5" s="1903"/>
      <c r="S5" s="1903"/>
      <c r="T5" s="1903"/>
      <c r="U5" s="1903"/>
      <c r="V5" s="1903"/>
      <c r="W5" s="1903"/>
      <c r="X5" s="1903"/>
      <c r="AH5" s="796" t="str">
        <f>HYPERLINK("#A101：X154")</f>
        <v>#A101：X154</v>
      </c>
      <c r="AI5" s="800" t="s">
        <v>3094</v>
      </c>
      <c r="AJ5" s="562"/>
      <c r="AK5" s="561"/>
      <c r="AL5" s="561"/>
      <c r="AM5" s="561"/>
      <c r="AN5" s="561"/>
      <c r="AO5" s="801"/>
    </row>
    <row r="6" spans="1:41" ht="13.5">
      <c r="A6" s="1904" t="s">
        <v>3091</v>
      </c>
      <c r="B6" s="1904"/>
      <c r="C6" s="1904"/>
      <c r="D6" s="1904"/>
      <c r="E6" s="1904"/>
      <c r="F6" s="1904"/>
      <c r="G6" s="1904"/>
      <c r="H6" s="1904"/>
      <c r="I6" s="1904"/>
      <c r="J6" s="1904"/>
      <c r="K6" s="1904"/>
      <c r="L6" s="1904"/>
      <c r="M6" s="1904"/>
      <c r="N6" s="1904"/>
      <c r="O6" s="1904"/>
      <c r="P6" s="1904"/>
      <c r="Q6" s="1904"/>
      <c r="R6" s="1904"/>
      <c r="S6" s="1904"/>
      <c r="T6" s="1904"/>
      <c r="U6" s="1904"/>
      <c r="V6" s="1904"/>
      <c r="W6" s="1904"/>
      <c r="X6" s="1904"/>
      <c r="AH6" s="796" t="str">
        <f>HYPERLINK("#A155：X208")</f>
        <v>#A155：X208</v>
      </c>
      <c r="AI6" s="800" t="s">
        <v>3385</v>
      </c>
      <c r="AJ6" s="562"/>
      <c r="AK6" s="561"/>
      <c r="AL6" s="561"/>
      <c r="AM6" s="561"/>
      <c r="AN6" s="561"/>
      <c r="AO6" s="801"/>
    </row>
    <row r="7" spans="1:41" ht="13.5">
      <c r="A7" s="555"/>
      <c r="B7" s="555"/>
      <c r="C7" s="555"/>
      <c r="D7" s="555"/>
      <c r="E7" s="555"/>
      <c r="F7" s="555"/>
      <c r="G7" s="555"/>
      <c r="H7" s="555"/>
      <c r="I7" s="555"/>
      <c r="J7" s="555"/>
      <c r="K7" s="555"/>
      <c r="L7" s="555"/>
      <c r="M7" s="555"/>
      <c r="N7" s="555"/>
      <c r="O7" s="555"/>
      <c r="P7" s="555"/>
      <c r="Q7" s="555"/>
      <c r="R7" s="555"/>
      <c r="S7" s="555"/>
      <c r="T7" s="555"/>
      <c r="U7" s="555"/>
      <c r="V7" s="555"/>
      <c r="W7" s="555"/>
      <c r="X7" s="555"/>
      <c r="AH7" s="796" t="str">
        <f>HYPERLINK("#A209：X262")</f>
        <v>#A209：X262</v>
      </c>
      <c r="AI7" s="800" t="s">
        <v>3098</v>
      </c>
      <c r="AJ7" s="560"/>
      <c r="AK7" s="561"/>
      <c r="AL7" s="561"/>
      <c r="AM7" s="561"/>
      <c r="AN7" s="561"/>
      <c r="AO7" s="801"/>
    </row>
    <row r="8" spans="1:41" ht="13.5">
      <c r="A8" s="555"/>
      <c r="B8" s="555"/>
      <c r="C8" s="555"/>
      <c r="D8" s="555"/>
      <c r="E8" s="555"/>
      <c r="F8" s="555"/>
      <c r="G8" s="555"/>
      <c r="H8" s="555"/>
      <c r="I8" s="555"/>
      <c r="J8" s="555"/>
      <c r="K8" s="555"/>
      <c r="L8" s="555"/>
      <c r="M8" s="555"/>
      <c r="N8" s="555"/>
      <c r="O8" s="555"/>
      <c r="P8" s="555"/>
      <c r="Q8" s="555"/>
      <c r="R8" s="555"/>
      <c r="S8" s="555"/>
      <c r="T8" s="555"/>
      <c r="U8" s="555"/>
      <c r="V8" s="555"/>
      <c r="W8" s="555"/>
      <c r="X8" s="555"/>
      <c r="AH8" s="796" t="str">
        <f>HYPERLINK("#A263：X305")</f>
        <v>#A263：X305</v>
      </c>
      <c r="AI8" s="800" t="s">
        <v>3095</v>
      </c>
      <c r="AJ8" s="562"/>
      <c r="AK8" s="561"/>
      <c r="AL8" s="561"/>
      <c r="AM8" s="561"/>
      <c r="AN8" s="561"/>
      <c r="AO8" s="801"/>
    </row>
    <row r="9" spans="1:41" ht="13.5">
      <c r="A9" s="1905" t="s">
        <v>3386</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AH9" s="796" t="str">
        <f>HYPERLINK("#A306：X359")</f>
        <v>#A306：X359</v>
      </c>
      <c r="AI9" s="800" t="s">
        <v>3096</v>
      </c>
      <c r="AJ9" s="801"/>
      <c r="AK9" s="801"/>
      <c r="AL9" s="801"/>
      <c r="AM9" s="801"/>
      <c r="AN9" s="801"/>
      <c r="AO9" s="801"/>
    </row>
    <row r="10" spans="1:41" ht="13.5">
      <c r="A10" s="1905"/>
      <c r="B10" s="1905"/>
      <c r="C10" s="1905"/>
      <c r="D10" s="1905"/>
      <c r="E10" s="1905"/>
      <c r="F10" s="1905"/>
      <c r="G10" s="1905"/>
      <c r="H10" s="1905"/>
      <c r="I10" s="1905"/>
      <c r="J10" s="1905"/>
      <c r="K10" s="1905"/>
      <c r="L10" s="1905"/>
      <c r="M10" s="1905"/>
      <c r="N10" s="1905"/>
      <c r="O10" s="1905"/>
      <c r="P10" s="1905"/>
      <c r="Q10" s="1905"/>
      <c r="R10" s="1905"/>
      <c r="S10" s="1905"/>
      <c r="T10" s="1905"/>
      <c r="U10" s="1905"/>
      <c r="V10" s="1905"/>
      <c r="W10" s="1905"/>
      <c r="X10" s="1905"/>
      <c r="AH10" s="796" t="str">
        <f>HYPERLINK("#A360：X413")</f>
        <v>#A360：X413</v>
      </c>
      <c r="AI10" s="800" t="s">
        <v>3387</v>
      </c>
      <c r="AJ10" s="801"/>
      <c r="AK10" s="801"/>
      <c r="AL10" s="801"/>
      <c r="AM10" s="801"/>
      <c r="AN10" s="801"/>
      <c r="AO10" s="801"/>
    </row>
    <row r="11" spans="1:41" ht="12">
      <c r="A11" s="1905"/>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row>
    <row r="12" spans="1:41" ht="12">
      <c r="A12" s="802"/>
      <c r="B12" s="802"/>
      <c r="C12" s="802"/>
      <c r="D12" s="802"/>
      <c r="E12" s="802"/>
      <c r="F12" s="802"/>
      <c r="G12" s="802"/>
      <c r="H12" s="802"/>
      <c r="I12" s="802"/>
      <c r="J12" s="802"/>
      <c r="K12" s="802"/>
      <c r="L12" s="802"/>
      <c r="M12" s="802"/>
      <c r="N12" s="802"/>
      <c r="O12" s="802"/>
      <c r="P12" s="802"/>
      <c r="Q12" s="802"/>
      <c r="R12" s="802"/>
      <c r="S12" s="802"/>
      <c r="T12" s="802"/>
      <c r="U12" s="802"/>
      <c r="V12" s="802"/>
      <c r="W12" s="802"/>
      <c r="X12" s="802"/>
    </row>
    <row r="13" spans="1:41" ht="12">
      <c r="A13" s="802"/>
      <c r="B13" s="802"/>
      <c r="C13" s="802"/>
      <c r="D13" s="802"/>
      <c r="E13" s="802"/>
      <c r="F13" s="802"/>
      <c r="G13" s="802"/>
      <c r="H13" s="802"/>
      <c r="I13" s="802"/>
      <c r="J13" s="802"/>
      <c r="K13" s="802"/>
      <c r="L13" s="802"/>
      <c r="M13" s="802"/>
      <c r="N13" s="802"/>
      <c r="O13" s="802"/>
      <c r="P13" s="802"/>
      <c r="Q13" s="802"/>
      <c r="R13" s="802"/>
      <c r="S13" s="802"/>
      <c r="T13" s="802"/>
      <c r="U13" s="802"/>
      <c r="V13" s="802"/>
      <c r="W13" s="802"/>
      <c r="X13" s="802"/>
    </row>
    <row r="14" spans="1:41" ht="12">
      <c r="A14" s="792" t="str">
        <f ca="1">cst_Pre_Corp__SHINSEI</f>
        <v>一般財団法人　岩手県建築住宅センター</v>
      </c>
    </row>
    <row r="15" spans="1:41" ht="12">
      <c r="A15" s="792" t="str">
        <f ca="1">"　　"&amp;cst_Pre_Daihyou__SHINSEI&amp;"　様"</f>
        <v>　　理事長　　渡 邊 健 治　様</v>
      </c>
    </row>
    <row r="16" spans="1:41" ht="12">
      <c r="A16" s="802"/>
      <c r="B16" s="802"/>
      <c r="C16" s="802"/>
      <c r="D16" s="802"/>
      <c r="E16" s="802"/>
      <c r="F16" s="802"/>
      <c r="G16" s="802"/>
      <c r="H16" s="802"/>
      <c r="I16" s="802"/>
      <c r="J16" s="802"/>
      <c r="K16" s="802"/>
      <c r="L16" s="802"/>
      <c r="M16" s="802"/>
      <c r="N16" s="802"/>
      <c r="O16" s="802"/>
      <c r="P16" s="802"/>
      <c r="Q16" s="802"/>
      <c r="R16" s="802"/>
      <c r="S16" s="802"/>
      <c r="T16" s="802"/>
      <c r="U16" s="802"/>
      <c r="V16" s="802"/>
      <c r="W16" s="802"/>
      <c r="X16" s="802"/>
    </row>
    <row r="17" spans="1:24" ht="13.5">
      <c r="Q17" s="1906" t="s">
        <v>3089</v>
      </c>
      <c r="R17" s="1906"/>
      <c r="S17" s="803"/>
      <c r="T17" s="733" t="s">
        <v>371</v>
      </c>
      <c r="U17" s="803"/>
      <c r="V17" s="733" t="s">
        <v>4</v>
      </c>
      <c r="W17" s="803"/>
      <c r="X17" s="733" t="s">
        <v>373</v>
      </c>
    </row>
    <row r="18" spans="1:24" ht="12">
      <c r="R18" s="795"/>
      <c r="S18" s="794"/>
      <c r="T18" s="794"/>
      <c r="U18" s="794"/>
      <c r="V18" s="794"/>
      <c r="W18" s="794"/>
      <c r="X18" s="794"/>
    </row>
    <row r="22" spans="1:24" ht="12">
      <c r="M22" s="793" t="s">
        <v>3388</v>
      </c>
      <c r="Q22" s="1907" t="str">
        <f>cst_wskakunin_owner1__space</f>
        <v/>
      </c>
      <c r="R22" s="1907"/>
      <c r="S22" s="1907"/>
      <c r="T22" s="1907"/>
      <c r="U22" s="1907"/>
      <c r="V22" s="1907"/>
      <c r="W22" s="1907"/>
      <c r="X22" s="794" t="s">
        <v>372</v>
      </c>
    </row>
    <row r="23" spans="1:24" ht="12">
      <c r="Q23" s="1907"/>
      <c r="R23" s="1907"/>
      <c r="S23" s="1907"/>
      <c r="T23" s="1907"/>
      <c r="U23" s="1907"/>
      <c r="V23" s="1907"/>
      <c r="W23" s="1907"/>
      <c r="X23" s="794"/>
    </row>
    <row r="24" spans="1:24" ht="12">
      <c r="Q24" s="1907" t="str">
        <f>cst_wskakunin_owner2__space</f>
        <v/>
      </c>
      <c r="R24" s="1907"/>
      <c r="S24" s="1907"/>
      <c r="T24" s="1907"/>
      <c r="U24" s="1907"/>
      <c r="V24" s="1907"/>
      <c r="W24" s="1907"/>
      <c r="X24" s="794" t="str">
        <f>IF(Q24="","","印")</f>
        <v/>
      </c>
    </row>
    <row r="25" spans="1:24" ht="12">
      <c r="Q25" s="1907"/>
      <c r="R25" s="1907"/>
      <c r="S25" s="1907"/>
      <c r="T25" s="1907"/>
      <c r="U25" s="1907"/>
      <c r="V25" s="1907"/>
      <c r="W25" s="1907"/>
      <c r="X25" s="794"/>
    </row>
    <row r="26" spans="1:24" ht="12">
      <c r="Q26" s="1907" t="str">
        <f>cst_wskakunin_owner3__space</f>
        <v/>
      </c>
      <c r="R26" s="1907"/>
      <c r="S26" s="1907"/>
      <c r="T26" s="1907"/>
      <c r="U26" s="1907"/>
      <c r="V26" s="1907"/>
      <c r="W26" s="1907"/>
      <c r="X26" s="794" t="str">
        <f>IF(Q26="","","印")</f>
        <v/>
      </c>
    </row>
    <row r="27" spans="1:24" ht="12">
      <c r="Q27" s="1907"/>
      <c r="R27" s="1907"/>
      <c r="S27" s="1907"/>
      <c r="T27" s="1907"/>
      <c r="U27" s="1907"/>
      <c r="V27" s="1907"/>
      <c r="W27" s="1907"/>
    </row>
    <row r="28" spans="1:24" ht="12">
      <c r="A28" s="804"/>
      <c r="B28" s="804"/>
      <c r="C28" s="804"/>
      <c r="D28" s="804"/>
      <c r="E28" s="804"/>
      <c r="F28" s="804"/>
      <c r="G28" s="804"/>
      <c r="H28" s="804"/>
      <c r="I28" s="804"/>
      <c r="J28" s="804"/>
      <c r="K28" s="804"/>
      <c r="L28" s="804"/>
      <c r="M28" s="804"/>
      <c r="N28" s="804"/>
      <c r="O28" s="804"/>
      <c r="P28" s="804"/>
      <c r="Q28" s="804"/>
      <c r="R28" s="804"/>
      <c r="S28" s="804"/>
      <c r="T28" s="804"/>
      <c r="U28" s="804"/>
      <c r="V28" s="804"/>
      <c r="W28" s="804"/>
      <c r="X28" s="804"/>
    </row>
    <row r="29" spans="1:24" ht="12">
      <c r="A29" s="1902" t="s">
        <v>3389</v>
      </c>
      <c r="B29" s="1902"/>
      <c r="C29" s="1902"/>
      <c r="D29" s="1902"/>
      <c r="E29" s="1902"/>
      <c r="F29" s="1902"/>
      <c r="G29" s="1902"/>
      <c r="H29" s="1902"/>
      <c r="I29" s="1902"/>
      <c r="J29" s="1902"/>
      <c r="K29" s="1902"/>
      <c r="L29" s="1902"/>
      <c r="M29" s="1902"/>
      <c r="N29" s="1902"/>
      <c r="O29" s="1902"/>
      <c r="P29" s="1902"/>
      <c r="Q29" s="1902"/>
      <c r="R29" s="1902"/>
      <c r="S29" s="1902"/>
      <c r="T29" s="1902"/>
      <c r="U29" s="1902"/>
      <c r="V29" s="1902"/>
      <c r="W29" s="1902"/>
      <c r="X29" s="1902"/>
    </row>
    <row r="30" spans="1:24" ht="12">
      <c r="A30" s="793"/>
      <c r="B30" s="793"/>
      <c r="C30" s="793"/>
      <c r="D30" s="793"/>
      <c r="E30" s="793"/>
      <c r="F30" s="793"/>
      <c r="G30" s="793"/>
      <c r="H30" s="793"/>
      <c r="I30" s="793"/>
      <c r="J30" s="793"/>
      <c r="K30" s="793"/>
      <c r="L30" s="793"/>
      <c r="M30" s="793"/>
      <c r="N30" s="793"/>
      <c r="O30" s="793"/>
      <c r="P30" s="793"/>
      <c r="Q30" s="793"/>
      <c r="R30" s="793"/>
      <c r="S30" s="793"/>
      <c r="T30" s="793"/>
      <c r="U30" s="793"/>
      <c r="V30" s="793"/>
      <c r="W30" s="793"/>
      <c r="X30" s="793"/>
    </row>
    <row r="31" spans="1:24" ht="12">
      <c r="M31" s="793" t="s">
        <v>3390</v>
      </c>
      <c r="Q31" s="1907" t="str">
        <f>cst_wskakunin_kanri1_NAME</f>
        <v/>
      </c>
      <c r="R31" s="1907"/>
      <c r="S31" s="1907"/>
      <c r="T31" s="1907"/>
      <c r="U31" s="1907"/>
      <c r="V31" s="1907"/>
      <c r="W31" s="1907"/>
      <c r="X31" s="794" t="s">
        <v>372</v>
      </c>
    </row>
    <row r="32" spans="1:24" ht="12">
      <c r="A32" s="805"/>
      <c r="B32" s="805"/>
      <c r="C32" s="805"/>
      <c r="D32" s="805"/>
      <c r="E32" s="805"/>
      <c r="F32" s="805"/>
      <c r="G32" s="805"/>
      <c r="H32" s="805"/>
      <c r="I32" s="805"/>
      <c r="J32" s="805"/>
      <c r="K32" s="805"/>
      <c r="L32" s="805"/>
      <c r="M32" s="805"/>
      <c r="N32" s="805"/>
      <c r="O32" s="805"/>
      <c r="P32" s="805"/>
      <c r="Q32" s="1908"/>
      <c r="R32" s="1908"/>
      <c r="S32" s="1908"/>
      <c r="T32" s="1908"/>
      <c r="U32" s="1908"/>
      <c r="V32" s="1908"/>
      <c r="W32" s="1908"/>
      <c r="X32" s="806"/>
    </row>
    <row r="33" spans="1:41" ht="12">
      <c r="A33" s="794"/>
      <c r="B33" s="794"/>
      <c r="C33" s="794"/>
      <c r="D33" s="794"/>
      <c r="E33" s="794"/>
      <c r="F33" s="794"/>
      <c r="G33" s="794"/>
      <c r="H33" s="794"/>
      <c r="I33" s="794"/>
      <c r="J33" s="794"/>
      <c r="K33" s="794"/>
      <c r="L33" s="794"/>
      <c r="M33" s="794"/>
      <c r="N33" s="794"/>
      <c r="O33" s="794"/>
      <c r="P33" s="794"/>
      <c r="Q33" s="794"/>
      <c r="R33" s="794"/>
      <c r="S33" s="794"/>
      <c r="T33" s="794"/>
      <c r="U33" s="794"/>
      <c r="V33" s="794"/>
      <c r="W33" s="794"/>
      <c r="X33" s="794"/>
    </row>
    <row r="34" spans="1:41" ht="12">
      <c r="A34" s="1902" t="s">
        <v>3391</v>
      </c>
      <c r="B34" s="1902"/>
      <c r="C34" s="1902"/>
      <c r="D34" s="1902"/>
      <c r="E34" s="1902"/>
      <c r="F34" s="1902"/>
      <c r="G34" s="1902"/>
      <c r="H34" s="1902"/>
      <c r="I34" s="1902"/>
      <c r="J34" s="1902"/>
      <c r="K34" s="1902"/>
      <c r="L34" s="1902"/>
      <c r="M34" s="1902"/>
      <c r="N34" s="1902"/>
      <c r="O34" s="1902"/>
      <c r="P34" s="1902"/>
      <c r="Q34" s="1902"/>
      <c r="R34" s="1902"/>
      <c r="S34" s="1902"/>
      <c r="T34" s="1902"/>
      <c r="U34" s="1902"/>
      <c r="V34" s="1902"/>
      <c r="W34" s="1902"/>
      <c r="X34" s="1902"/>
    </row>
    <row r="35" spans="1:41" ht="12">
      <c r="B35" s="794"/>
      <c r="C35" s="807"/>
      <c r="D35" s="792" t="s">
        <v>1</v>
      </c>
      <c r="E35" s="794"/>
      <c r="F35" s="794"/>
      <c r="G35" s="794"/>
      <c r="H35" s="794"/>
      <c r="J35" s="794"/>
      <c r="K35" s="808"/>
      <c r="L35" s="792" t="s">
        <v>2</v>
      </c>
      <c r="M35" s="794"/>
      <c r="N35" s="794"/>
      <c r="O35" s="794"/>
      <c r="P35" s="794"/>
      <c r="Q35" s="794"/>
      <c r="R35" s="794"/>
      <c r="S35" s="794"/>
      <c r="T35" s="794"/>
      <c r="U35" s="794"/>
      <c r="V35" s="794"/>
      <c r="W35" s="794"/>
      <c r="X35" s="794"/>
      <c r="Y35" s="794"/>
    </row>
    <row r="36" spans="1:41" ht="12">
      <c r="B36" s="794"/>
      <c r="C36" s="807"/>
      <c r="D36" s="792" t="s">
        <v>3</v>
      </c>
      <c r="E36" s="794"/>
      <c r="F36" s="794"/>
      <c r="G36" s="794"/>
      <c r="H36" s="794"/>
      <c r="J36" s="794"/>
      <c r="K36" s="808"/>
      <c r="L36" s="792" t="s">
        <v>3392</v>
      </c>
      <c r="M36" s="794"/>
      <c r="N36" s="794"/>
      <c r="O36" s="794"/>
      <c r="P36" s="794"/>
      <c r="Q36" s="794"/>
      <c r="R36" s="794"/>
      <c r="S36" s="794"/>
      <c r="T36" s="794"/>
      <c r="U36" s="794"/>
      <c r="V36" s="794"/>
      <c r="W36" s="794"/>
      <c r="X36" s="794"/>
      <c r="Y36" s="794"/>
    </row>
    <row r="37" spans="1:41" s="793" customFormat="1" ht="12">
      <c r="C37" s="809"/>
      <c r="D37" s="792" t="s">
        <v>3393</v>
      </c>
      <c r="K37" s="809"/>
      <c r="L37" s="792" t="s">
        <v>3394</v>
      </c>
    </row>
    <row r="38" spans="1:41" s="793" customFormat="1" ht="12"/>
    <row r="39" spans="1:41" s="793" customFormat="1" ht="30" customHeight="1">
      <c r="A39" s="810" t="s">
        <v>3395</v>
      </c>
      <c r="B39" s="811"/>
      <c r="C39" s="811"/>
      <c r="D39" s="811"/>
      <c r="E39" s="811"/>
      <c r="F39" s="811"/>
      <c r="G39" s="811"/>
      <c r="H39" s="811"/>
      <c r="I39" s="811"/>
      <c r="J39" s="811"/>
      <c r="K39" s="811"/>
      <c r="L39" s="811"/>
      <c r="M39" s="811"/>
      <c r="N39" s="811"/>
      <c r="O39" s="811"/>
      <c r="P39" s="811"/>
      <c r="Q39" s="811"/>
      <c r="R39" s="811"/>
      <c r="S39" s="811"/>
      <c r="T39" s="811"/>
      <c r="U39" s="811"/>
      <c r="V39" s="811"/>
      <c r="W39" s="811"/>
      <c r="X39" s="812"/>
    </row>
    <row r="40" spans="1:41" s="793" customFormat="1" ht="30" customHeight="1">
      <c r="A40" s="813"/>
      <c r="X40" s="814"/>
    </row>
    <row r="41" spans="1:41" s="793" customFormat="1" ht="30" customHeight="1">
      <c r="A41" s="813"/>
      <c r="X41" s="814"/>
    </row>
    <row r="42" spans="1:41" s="793" customFormat="1" ht="30" customHeight="1">
      <c r="A42" s="815"/>
      <c r="B42" s="816"/>
      <c r="C42" s="816"/>
      <c r="D42" s="816"/>
      <c r="E42" s="816"/>
      <c r="F42" s="816"/>
      <c r="G42" s="816"/>
      <c r="H42" s="816"/>
      <c r="I42" s="816"/>
      <c r="J42" s="816"/>
      <c r="K42" s="816"/>
      <c r="L42" s="816"/>
      <c r="M42" s="816"/>
      <c r="N42" s="816"/>
      <c r="O42" s="816"/>
      <c r="P42" s="816"/>
      <c r="Q42" s="816"/>
      <c r="R42" s="816"/>
      <c r="S42" s="816"/>
      <c r="T42" s="816"/>
      <c r="U42" s="816"/>
      <c r="V42" s="816"/>
      <c r="W42" s="816"/>
      <c r="X42" s="817"/>
    </row>
    <row r="43" spans="1:41" s="793" customFormat="1" ht="30" customHeight="1">
      <c r="A43" s="1909" t="s">
        <v>3396</v>
      </c>
      <c r="B43" s="1909"/>
      <c r="C43" s="1909"/>
      <c r="D43" s="1909"/>
      <c r="E43" s="1909"/>
      <c r="F43" s="1909"/>
      <c r="G43" s="1909"/>
      <c r="H43" s="1909" t="s">
        <v>3397</v>
      </c>
      <c r="I43" s="1909"/>
      <c r="J43" s="1909"/>
      <c r="K43" s="1909"/>
      <c r="L43" s="1909" t="s">
        <v>3398</v>
      </c>
      <c r="M43" s="1909"/>
      <c r="N43" s="1909"/>
      <c r="O43" s="1909" t="s">
        <v>3399</v>
      </c>
      <c r="P43" s="1909"/>
      <c r="Q43" s="1910"/>
      <c r="R43" s="1909" t="s">
        <v>3400</v>
      </c>
      <c r="S43" s="1909"/>
      <c r="T43" s="1909"/>
      <c r="U43" s="1909"/>
      <c r="V43" s="1909"/>
      <c r="W43" s="1909"/>
      <c r="X43" s="1909"/>
    </row>
    <row r="44" spans="1:41" s="793" customFormat="1" ht="30" customHeight="1">
      <c r="A44" s="1909" t="s">
        <v>3401</v>
      </c>
      <c r="B44" s="1909"/>
      <c r="C44" s="1909"/>
      <c r="D44" s="1909"/>
      <c r="E44" s="1909"/>
      <c r="F44" s="1909"/>
      <c r="G44" s="1909"/>
      <c r="H44" s="810"/>
      <c r="I44" s="811"/>
      <c r="J44" s="811"/>
      <c r="K44" s="812"/>
      <c r="L44" s="810"/>
      <c r="M44" s="811"/>
      <c r="N44" s="812"/>
      <c r="O44" s="810"/>
      <c r="P44" s="811"/>
      <c r="Q44" s="812"/>
      <c r="R44" s="1909" t="s">
        <v>3401</v>
      </c>
      <c r="S44" s="1909"/>
      <c r="T44" s="1909"/>
      <c r="U44" s="1909"/>
      <c r="V44" s="1909"/>
      <c r="W44" s="1909"/>
      <c r="X44" s="1909"/>
    </row>
    <row r="45" spans="1:41" s="793" customFormat="1" ht="30" customHeight="1">
      <c r="A45" s="1909" t="s">
        <v>3402</v>
      </c>
      <c r="B45" s="1909"/>
      <c r="C45" s="1909"/>
      <c r="D45" s="1909"/>
      <c r="E45" s="1909"/>
      <c r="F45" s="1909"/>
      <c r="G45" s="1909"/>
      <c r="H45" s="813"/>
      <c r="K45" s="814"/>
      <c r="L45" s="813"/>
      <c r="N45" s="814"/>
      <c r="O45" s="813"/>
      <c r="Q45" s="814"/>
      <c r="R45" s="1909" t="s">
        <v>3402</v>
      </c>
      <c r="S45" s="1909"/>
      <c r="T45" s="1909"/>
      <c r="U45" s="1909"/>
      <c r="V45" s="1909"/>
      <c r="W45" s="1909"/>
      <c r="X45" s="1909"/>
    </row>
    <row r="46" spans="1:41" s="793" customFormat="1" ht="30" customHeight="1">
      <c r="A46" s="1909" t="s">
        <v>3403</v>
      </c>
      <c r="B46" s="1909"/>
      <c r="C46" s="1909"/>
      <c r="D46" s="1909"/>
      <c r="E46" s="1909"/>
      <c r="F46" s="1909"/>
      <c r="G46" s="1909"/>
      <c r="H46" s="815"/>
      <c r="I46" s="816"/>
      <c r="J46" s="816"/>
      <c r="K46" s="817"/>
      <c r="L46" s="815"/>
      <c r="M46" s="816"/>
      <c r="N46" s="817"/>
      <c r="O46" s="815"/>
      <c r="P46" s="816"/>
      <c r="Q46" s="817"/>
      <c r="R46" s="1909" t="s">
        <v>3403</v>
      </c>
      <c r="S46" s="1909"/>
      <c r="T46" s="1909"/>
      <c r="U46" s="1909"/>
      <c r="V46" s="1909"/>
      <c r="W46" s="1909"/>
      <c r="X46" s="1909"/>
    </row>
    <row r="47" spans="1:41" s="557" customFormat="1" ht="13.5">
      <c r="A47" s="1904" t="s">
        <v>3104</v>
      </c>
      <c r="B47" s="1904"/>
      <c r="C47" s="1904"/>
      <c r="D47" s="1904"/>
      <c r="E47" s="1904"/>
      <c r="F47" s="1904"/>
      <c r="G47" s="1904"/>
      <c r="H47" s="1904"/>
      <c r="I47" s="1904"/>
      <c r="J47" s="1904"/>
      <c r="K47" s="1904"/>
      <c r="L47" s="1904"/>
      <c r="M47" s="1904"/>
      <c r="N47" s="1904"/>
      <c r="O47" s="1904"/>
      <c r="P47" s="1904"/>
      <c r="Q47" s="1904"/>
      <c r="R47" s="1904"/>
      <c r="S47" s="1904"/>
      <c r="T47" s="1904"/>
      <c r="U47" s="1904"/>
      <c r="V47" s="1904"/>
      <c r="W47" s="1904"/>
      <c r="X47" s="1904"/>
      <c r="AB47" s="564"/>
      <c r="AH47" s="793" t="s">
        <v>3093</v>
      </c>
      <c r="AI47" s="793"/>
      <c r="AJ47" s="733"/>
      <c r="AK47" s="792"/>
      <c r="AL47" s="792"/>
      <c r="AM47" s="792"/>
      <c r="AN47" s="792"/>
      <c r="AO47" s="792"/>
    </row>
    <row r="48" spans="1:41" s="557" customFormat="1" ht="12">
      <c r="A48" s="792" t="s">
        <v>3404</v>
      </c>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AH48" s="794" t="s">
        <v>2845</v>
      </c>
      <c r="AI48" s="793"/>
      <c r="AJ48" s="795"/>
      <c r="AK48" s="792"/>
      <c r="AL48" s="792"/>
      <c r="AM48" s="792"/>
      <c r="AN48" s="792"/>
      <c r="AO48" s="792"/>
    </row>
    <row r="49" spans="1:50" s="554" customFormat="1" ht="13.5">
      <c r="A49" s="818" t="s">
        <v>3405</v>
      </c>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AH49" s="796" t="str">
        <f>HYPERLINK("#A1：X46")</f>
        <v>#A1：X46</v>
      </c>
      <c r="AI49" s="797" t="s">
        <v>2723</v>
      </c>
      <c r="AJ49" s="798"/>
      <c r="AK49" s="799"/>
      <c r="AL49" s="799"/>
      <c r="AM49" s="799"/>
      <c r="AN49" s="799"/>
      <c r="AO49" s="799"/>
    </row>
    <row r="50" spans="1:50" s="554" customFormat="1" ht="13.5">
      <c r="B50" s="553" t="s">
        <v>3406</v>
      </c>
      <c r="C50" s="553"/>
      <c r="D50" s="553"/>
      <c r="E50" s="553"/>
      <c r="F50" s="553"/>
      <c r="G50" s="1911" t="str">
        <f>cst_wskakunin_owner1_NAME_KANA</f>
        <v/>
      </c>
      <c r="H50" s="1911"/>
      <c r="I50" s="1911"/>
      <c r="J50" s="1911"/>
      <c r="K50" s="1911"/>
      <c r="L50" s="1911"/>
      <c r="M50" s="1911"/>
      <c r="N50" s="1911"/>
      <c r="O50" s="1911"/>
      <c r="P50" s="1911"/>
      <c r="Q50" s="1911"/>
      <c r="R50" s="1911"/>
      <c r="S50" s="1911"/>
      <c r="T50" s="1911"/>
      <c r="U50" s="1911"/>
      <c r="V50" s="1911"/>
      <c r="W50" s="1911"/>
      <c r="X50" s="557"/>
      <c r="AH50" s="796" t="str">
        <f>HYPERLINK("#A47：X100")</f>
        <v>#A47：X100</v>
      </c>
      <c r="AI50" s="800" t="s">
        <v>2726</v>
      </c>
      <c r="AJ50" s="560"/>
      <c r="AK50" s="561"/>
      <c r="AL50" s="561"/>
      <c r="AM50" s="561"/>
      <c r="AN50" s="561"/>
      <c r="AO50" s="801"/>
    </row>
    <row r="51" spans="1:50" s="554" customFormat="1" ht="13.5">
      <c r="A51" s="553"/>
      <c r="B51" s="553" t="s">
        <v>560</v>
      </c>
      <c r="C51" s="553"/>
      <c r="D51" s="553"/>
      <c r="E51" s="553"/>
      <c r="F51" s="553"/>
      <c r="G51" s="1912" t="str">
        <f>cst_wskakunin_owner1_NAME</f>
        <v/>
      </c>
      <c r="H51" s="1912"/>
      <c r="I51" s="1912"/>
      <c r="J51" s="1912"/>
      <c r="K51" s="1912"/>
      <c r="L51" s="1912"/>
      <c r="M51" s="1912"/>
      <c r="N51" s="1912"/>
      <c r="O51" s="1912"/>
      <c r="P51" s="1912"/>
      <c r="Q51" s="1912"/>
      <c r="R51" s="1912"/>
      <c r="S51" s="1912"/>
      <c r="T51" s="1912"/>
      <c r="U51" s="1912"/>
      <c r="V51" s="1912"/>
      <c r="W51" s="1912"/>
      <c r="X51" s="558"/>
      <c r="AH51" s="796" t="str">
        <f>HYPERLINK("#A101：X154")</f>
        <v>#A101：X154</v>
      </c>
      <c r="AI51" s="800" t="s">
        <v>3094</v>
      </c>
      <c r="AJ51" s="562"/>
      <c r="AK51" s="561"/>
      <c r="AL51" s="561"/>
      <c r="AM51" s="561"/>
      <c r="AN51" s="561"/>
      <c r="AO51" s="801"/>
    </row>
    <row r="52" spans="1:50" s="554" customFormat="1" ht="13.5">
      <c r="A52" s="553"/>
      <c r="B52" s="553"/>
      <c r="C52" s="553"/>
      <c r="D52" s="553"/>
      <c r="E52" s="553"/>
      <c r="F52" s="553"/>
      <c r="G52" s="1912"/>
      <c r="H52" s="1912"/>
      <c r="I52" s="1912"/>
      <c r="J52" s="1912"/>
      <c r="K52" s="1912"/>
      <c r="L52" s="1912"/>
      <c r="M52" s="1912"/>
      <c r="N52" s="1912"/>
      <c r="O52" s="1912"/>
      <c r="P52" s="1912"/>
      <c r="Q52" s="1912"/>
      <c r="R52" s="1912"/>
      <c r="S52" s="1912"/>
      <c r="T52" s="1912"/>
      <c r="U52" s="1912"/>
      <c r="V52" s="1912"/>
      <c r="W52" s="1912"/>
      <c r="X52" s="558"/>
      <c r="AH52" s="796" t="str">
        <f>HYPERLINK("#A155：X208")</f>
        <v>#A155：X208</v>
      </c>
      <c r="AI52" s="800" t="s">
        <v>3385</v>
      </c>
      <c r="AJ52" s="562"/>
      <c r="AK52" s="561"/>
      <c r="AL52" s="561"/>
      <c r="AM52" s="561"/>
      <c r="AN52" s="561"/>
      <c r="AO52" s="801"/>
    </row>
    <row r="53" spans="1:50" s="554" customFormat="1" ht="13.5">
      <c r="A53" s="553"/>
      <c r="B53" s="553" t="s">
        <v>551</v>
      </c>
      <c r="C53" s="553"/>
      <c r="D53" s="553"/>
      <c r="E53" s="553"/>
      <c r="F53" s="553"/>
      <c r="G53" s="559" t="s">
        <v>2429</v>
      </c>
      <c r="H53" s="1913" t="str">
        <f>cst_wskakunin_owner1_ZIP</f>
        <v/>
      </c>
      <c r="I53" s="1913"/>
      <c r="J53" s="1913"/>
      <c r="K53" s="1913"/>
      <c r="L53" s="1913"/>
      <c r="M53" s="1913"/>
      <c r="N53" s="1913"/>
      <c r="O53" s="1913"/>
      <c r="P53" s="1913"/>
      <c r="Q53" s="1913"/>
      <c r="R53" s="1913"/>
      <c r="S53" s="1913"/>
      <c r="T53" s="1913"/>
      <c r="U53" s="1913"/>
      <c r="V53" s="1913"/>
      <c r="W53" s="1913"/>
      <c r="X53" s="553"/>
      <c r="AH53" s="796" t="str">
        <f>HYPERLINK("#A209：X262")</f>
        <v>#A209：X262</v>
      </c>
      <c r="AI53" s="800" t="s">
        <v>3098</v>
      </c>
      <c r="AJ53" s="560"/>
      <c r="AK53" s="561"/>
      <c r="AL53" s="561"/>
      <c r="AM53" s="561"/>
      <c r="AN53" s="561"/>
      <c r="AO53" s="801"/>
    </row>
    <row r="54" spans="1:50" s="554" customFormat="1" ht="13.5">
      <c r="A54" s="553"/>
      <c r="B54" s="553" t="s">
        <v>3407</v>
      </c>
      <c r="C54" s="553"/>
      <c r="D54" s="553"/>
      <c r="E54" s="553"/>
      <c r="F54" s="553"/>
      <c r="G54" s="1912" t="str">
        <f>cst_wskakunin_owner1__address</f>
        <v/>
      </c>
      <c r="H54" s="1912"/>
      <c r="I54" s="1912"/>
      <c r="J54" s="1912"/>
      <c r="K54" s="1912"/>
      <c r="L54" s="1912"/>
      <c r="M54" s="1912"/>
      <c r="N54" s="1912"/>
      <c r="O54" s="1912"/>
      <c r="P54" s="1912"/>
      <c r="Q54" s="1912"/>
      <c r="R54" s="1912"/>
      <c r="S54" s="1912"/>
      <c r="T54" s="1912"/>
      <c r="U54" s="1912"/>
      <c r="V54" s="1912"/>
      <c r="W54" s="1912"/>
      <c r="X54" s="558"/>
      <c r="AH54" s="796" t="str">
        <f>HYPERLINK("#A263：X305")</f>
        <v>#A263：X305</v>
      </c>
      <c r="AI54" s="800" t="s">
        <v>3095</v>
      </c>
      <c r="AJ54" s="562"/>
      <c r="AK54" s="561"/>
      <c r="AL54" s="561"/>
      <c r="AM54" s="561"/>
      <c r="AN54" s="561"/>
      <c r="AO54" s="801"/>
    </row>
    <row r="55" spans="1:50" s="554" customFormat="1" ht="13.5">
      <c r="A55" s="553"/>
      <c r="B55" s="553"/>
      <c r="C55" s="553"/>
      <c r="D55" s="553"/>
      <c r="E55" s="553"/>
      <c r="F55" s="553"/>
      <c r="G55" s="1912"/>
      <c r="H55" s="1912"/>
      <c r="I55" s="1912"/>
      <c r="J55" s="1912"/>
      <c r="K55" s="1912"/>
      <c r="L55" s="1912"/>
      <c r="M55" s="1912"/>
      <c r="N55" s="1912"/>
      <c r="O55" s="1912"/>
      <c r="P55" s="1912"/>
      <c r="Q55" s="1912"/>
      <c r="R55" s="1912"/>
      <c r="S55" s="1912"/>
      <c r="T55" s="1912"/>
      <c r="U55" s="1912"/>
      <c r="V55" s="1912"/>
      <c r="W55" s="1912"/>
      <c r="X55" s="558"/>
      <c r="AH55" s="796" t="str">
        <f>HYPERLINK("#A306：X359")</f>
        <v>#A306：X359</v>
      </c>
      <c r="AI55" s="800" t="s">
        <v>3096</v>
      </c>
      <c r="AJ55" s="801"/>
      <c r="AK55" s="801"/>
      <c r="AL55" s="801"/>
      <c r="AM55" s="801"/>
      <c r="AN55" s="801"/>
      <c r="AO55" s="801"/>
    </row>
    <row r="56" spans="1:50" s="554" customFormat="1" ht="13.5">
      <c r="A56" s="553"/>
      <c r="B56" s="553" t="s">
        <v>555</v>
      </c>
      <c r="C56" s="553"/>
      <c r="D56" s="553"/>
      <c r="E56" s="553"/>
      <c r="F56" s="553"/>
      <c r="G56" s="1913" t="str">
        <f>cst_wskakunin_owner1_TEL</f>
        <v/>
      </c>
      <c r="H56" s="1913"/>
      <c r="I56" s="1913"/>
      <c r="J56" s="1913"/>
      <c r="K56" s="1913"/>
      <c r="L56" s="1913"/>
      <c r="M56" s="1913"/>
      <c r="N56" s="1913"/>
      <c r="O56" s="1913"/>
      <c r="P56" s="1913"/>
      <c r="Q56" s="1913"/>
      <c r="R56" s="1913"/>
      <c r="S56" s="1913"/>
      <c r="T56" s="1913"/>
      <c r="U56" s="1913"/>
      <c r="V56" s="1913"/>
      <c r="W56" s="1913"/>
      <c r="X56" s="558"/>
      <c r="AH56" s="796" t="str">
        <f>HYPERLINK("#A360：X413")</f>
        <v>#A360：X413</v>
      </c>
      <c r="AI56" s="800" t="s">
        <v>3387</v>
      </c>
      <c r="AJ56" s="801"/>
      <c r="AK56" s="801"/>
      <c r="AL56" s="801"/>
      <c r="AM56" s="801"/>
      <c r="AN56" s="801"/>
      <c r="AO56" s="801"/>
    </row>
    <row r="57" spans="1:50" s="554" customFormat="1" ht="12">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row>
    <row r="58" spans="1:50" s="554" customFormat="1" ht="12">
      <c r="A58" s="818" t="s">
        <v>3408</v>
      </c>
      <c r="B58" s="563"/>
      <c r="C58" s="563"/>
      <c r="D58" s="563"/>
      <c r="E58" s="563"/>
      <c r="F58" s="563"/>
      <c r="G58" s="563"/>
      <c r="H58" s="563"/>
      <c r="I58" s="563"/>
      <c r="J58" s="563"/>
      <c r="K58" s="563"/>
      <c r="L58" s="563"/>
      <c r="M58" s="563"/>
      <c r="N58" s="563"/>
      <c r="O58" s="563"/>
      <c r="P58" s="563"/>
      <c r="Q58" s="563"/>
      <c r="R58" s="563"/>
      <c r="S58" s="563"/>
      <c r="T58" s="563"/>
      <c r="U58" s="563"/>
      <c r="V58" s="563"/>
      <c r="W58" s="563"/>
      <c r="X58" s="563"/>
    </row>
    <row r="59" spans="1:50" s="554" customFormat="1" ht="12">
      <c r="A59" s="553"/>
      <c r="B59" s="553" t="s">
        <v>3409</v>
      </c>
      <c r="C59" s="553"/>
      <c r="D59" s="553"/>
      <c r="E59" s="553"/>
      <c r="F59" s="553"/>
      <c r="G59" s="1914" t="str">
        <f>cst_wskakunin_dairi1_SIKAKU</f>
        <v/>
      </c>
      <c r="H59" s="1914"/>
      <c r="I59" s="819" t="s">
        <v>552</v>
      </c>
      <c r="J59" s="820"/>
      <c r="K59" s="1914" t="str">
        <f>cst_wskakunin_dairi1_TOUROKU_KIKAN</f>
        <v/>
      </c>
      <c r="L59" s="1914"/>
      <c r="M59" s="1914"/>
      <c r="N59" s="1914"/>
      <c r="O59" s="819" t="s">
        <v>558</v>
      </c>
      <c r="P59" s="820"/>
      <c r="Q59" s="1915" t="str">
        <f>cst_wskakunin_dairi1_KENTIKUSI_NO</f>
        <v/>
      </c>
      <c r="R59" s="1915"/>
      <c r="S59" s="1915"/>
      <c r="T59" s="1915"/>
      <c r="U59" s="1915"/>
      <c r="V59" s="1915"/>
      <c r="W59" s="819" t="s">
        <v>375</v>
      </c>
      <c r="X59" s="553"/>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row>
    <row r="60" spans="1:50" s="554" customFormat="1" ht="12">
      <c r="A60" s="553"/>
      <c r="B60" s="553" t="s">
        <v>560</v>
      </c>
      <c r="C60" s="553"/>
      <c r="D60" s="553"/>
      <c r="E60" s="553"/>
      <c r="F60" s="553"/>
      <c r="G60" s="1913" t="str">
        <f>cst_wskakunin_dairi1_NAME</f>
        <v/>
      </c>
      <c r="H60" s="1913"/>
      <c r="I60" s="1913"/>
      <c r="J60" s="1913"/>
      <c r="K60" s="1913"/>
      <c r="L60" s="1913"/>
      <c r="M60" s="1913"/>
      <c r="N60" s="1913"/>
      <c r="O60" s="1913"/>
      <c r="P60" s="1913"/>
      <c r="Q60" s="1913"/>
      <c r="R60" s="1913"/>
      <c r="S60" s="1913"/>
      <c r="T60" s="1913"/>
      <c r="U60" s="1913"/>
      <c r="V60" s="1913"/>
      <c r="W60" s="1913"/>
      <c r="X60" s="558"/>
      <c r="AC60" s="821"/>
      <c r="AD60" s="821"/>
      <c r="AE60" s="821"/>
      <c r="AF60" s="821"/>
      <c r="AG60" s="821"/>
      <c r="AH60" s="821"/>
      <c r="AI60" s="821"/>
      <c r="AJ60" s="821"/>
      <c r="AK60" s="821"/>
      <c r="AL60" s="821"/>
      <c r="AM60" s="821"/>
      <c r="AN60" s="821"/>
      <c r="AO60" s="821"/>
      <c r="AP60" s="821"/>
      <c r="AQ60" s="821"/>
      <c r="AR60" s="821"/>
      <c r="AS60" s="821"/>
      <c r="AT60" s="821"/>
      <c r="AU60" s="821"/>
      <c r="AV60" s="821"/>
      <c r="AW60" s="821"/>
      <c r="AX60" s="821"/>
    </row>
    <row r="61" spans="1:50" s="554" customFormat="1" ht="12">
      <c r="A61" s="553"/>
      <c r="B61" s="553" t="s">
        <v>3410</v>
      </c>
      <c r="C61" s="553"/>
      <c r="D61" s="553"/>
      <c r="E61" s="553"/>
      <c r="F61" s="553"/>
      <c r="G61" s="1914" t="str">
        <f>cst_wskakunin_dairi1_JIMU_SIKAKU</f>
        <v/>
      </c>
      <c r="H61" s="1914"/>
      <c r="I61" s="1916" t="s">
        <v>553</v>
      </c>
      <c r="J61" s="1916"/>
      <c r="K61" s="1916"/>
      <c r="L61" s="1914" t="str">
        <f>cst_wskakunin_dairi1_JIMU_TOUROKU_KIKAN</f>
        <v/>
      </c>
      <c r="M61" s="1914"/>
      <c r="N61" s="1914"/>
      <c r="O61" s="819" t="s">
        <v>559</v>
      </c>
      <c r="P61" s="820"/>
      <c r="Q61" s="819"/>
      <c r="R61" s="1915" t="str">
        <f>cst_wskakunin_dairi1_JIMU_NO</f>
        <v/>
      </c>
      <c r="S61" s="1915"/>
      <c r="T61" s="1915"/>
      <c r="U61" s="1915"/>
      <c r="V61" s="1915"/>
      <c r="W61" s="819" t="s">
        <v>375</v>
      </c>
      <c r="X61" s="558"/>
      <c r="AC61" s="821"/>
      <c r="AD61" s="821"/>
      <c r="AE61" s="821"/>
      <c r="AF61" s="821"/>
      <c r="AG61" s="821"/>
      <c r="AH61" s="821"/>
      <c r="AI61" s="821"/>
      <c r="AJ61" s="821"/>
      <c r="AK61" s="821"/>
      <c r="AL61" s="821"/>
      <c r="AM61" s="821"/>
      <c r="AN61" s="821"/>
      <c r="AO61" s="821"/>
      <c r="AP61" s="821"/>
      <c r="AQ61" s="821"/>
      <c r="AR61" s="821"/>
      <c r="AS61" s="821"/>
      <c r="AT61" s="821"/>
      <c r="AU61" s="821"/>
      <c r="AV61" s="821"/>
      <c r="AW61" s="821"/>
      <c r="AX61" s="821"/>
    </row>
    <row r="62" spans="1:50" s="554" customFormat="1" ht="12">
      <c r="A62" s="553"/>
      <c r="B62" s="553"/>
      <c r="C62" s="553"/>
      <c r="D62" s="553"/>
      <c r="E62" s="553"/>
      <c r="F62" s="553"/>
      <c r="G62" s="1913" t="str">
        <f>cst_wskakunin_dairi1_JIMU_NAME</f>
        <v/>
      </c>
      <c r="H62" s="1913"/>
      <c r="I62" s="1913"/>
      <c r="J62" s="1913"/>
      <c r="K62" s="1913"/>
      <c r="L62" s="1913"/>
      <c r="M62" s="1913"/>
      <c r="N62" s="1913"/>
      <c r="O62" s="1913"/>
      <c r="P62" s="1913"/>
      <c r="Q62" s="1913"/>
      <c r="R62" s="1913"/>
      <c r="S62" s="1913"/>
      <c r="T62" s="1913"/>
      <c r="U62" s="1913"/>
      <c r="V62" s="1913"/>
      <c r="W62" s="1913"/>
      <c r="X62" s="558"/>
      <c r="AC62" s="821"/>
      <c r="AD62" s="821"/>
      <c r="AE62" s="821"/>
      <c r="AF62" s="821"/>
      <c r="AG62" s="821"/>
      <c r="AH62" s="821"/>
      <c r="AI62" s="821"/>
      <c r="AJ62" s="821"/>
      <c r="AK62" s="821"/>
      <c r="AL62" s="821"/>
      <c r="AM62" s="821"/>
      <c r="AN62" s="821"/>
      <c r="AO62" s="821"/>
      <c r="AP62" s="821"/>
      <c r="AQ62" s="821"/>
      <c r="AR62" s="821"/>
      <c r="AS62" s="821"/>
      <c r="AT62" s="821"/>
      <c r="AU62" s="821"/>
      <c r="AV62" s="821"/>
      <c r="AW62" s="821"/>
      <c r="AX62" s="821"/>
    </row>
    <row r="63" spans="1:50" s="554" customFormat="1" ht="12">
      <c r="A63" s="553"/>
      <c r="B63" s="553" t="s">
        <v>3411</v>
      </c>
      <c r="C63" s="553"/>
      <c r="D63" s="553"/>
      <c r="E63" s="553"/>
      <c r="F63" s="553"/>
      <c r="G63" s="559" t="s">
        <v>2429</v>
      </c>
      <c r="H63" s="1913" t="str">
        <f>cst_wskakunin_dairi1_ZIP</f>
        <v/>
      </c>
      <c r="I63" s="1913"/>
      <c r="J63" s="1913"/>
      <c r="K63" s="1913"/>
      <c r="L63" s="1913"/>
      <c r="M63" s="1913"/>
      <c r="N63" s="1913"/>
      <c r="O63" s="1913"/>
      <c r="P63" s="1913"/>
      <c r="Q63" s="1913"/>
      <c r="R63" s="1913"/>
      <c r="S63" s="1913"/>
      <c r="T63" s="1913"/>
      <c r="U63" s="1913"/>
      <c r="V63" s="1913"/>
      <c r="W63" s="1913"/>
      <c r="X63" s="553"/>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row>
    <row r="64" spans="1:50" s="554" customFormat="1" ht="12">
      <c r="A64" s="553"/>
      <c r="B64" s="553" t="s">
        <v>3412</v>
      </c>
      <c r="C64" s="553"/>
      <c r="D64" s="553"/>
      <c r="E64" s="553"/>
      <c r="F64" s="553"/>
      <c r="G64" s="1912" t="str">
        <f>cst_wskakunin_dairi1__address</f>
        <v/>
      </c>
      <c r="H64" s="1912"/>
      <c r="I64" s="1912"/>
      <c r="J64" s="1912"/>
      <c r="K64" s="1912"/>
      <c r="L64" s="1912"/>
      <c r="M64" s="1912"/>
      <c r="N64" s="1912"/>
      <c r="O64" s="1912"/>
      <c r="P64" s="1912"/>
      <c r="Q64" s="1912"/>
      <c r="R64" s="1912"/>
      <c r="S64" s="1912"/>
      <c r="T64" s="1912"/>
      <c r="U64" s="1912"/>
      <c r="V64" s="1912"/>
      <c r="W64" s="1912"/>
      <c r="X64" s="558"/>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row>
    <row r="65" spans="1:50" s="554" customFormat="1" ht="12">
      <c r="A65" s="553"/>
      <c r="B65" s="553"/>
      <c r="C65" s="553"/>
      <c r="D65" s="553"/>
      <c r="E65" s="553"/>
      <c r="F65" s="553"/>
      <c r="G65" s="1912"/>
      <c r="H65" s="1912"/>
      <c r="I65" s="1912"/>
      <c r="J65" s="1912"/>
      <c r="K65" s="1912"/>
      <c r="L65" s="1912"/>
      <c r="M65" s="1912"/>
      <c r="N65" s="1912"/>
      <c r="O65" s="1912"/>
      <c r="P65" s="1912"/>
      <c r="Q65" s="1912"/>
      <c r="R65" s="1912"/>
      <c r="S65" s="1912"/>
      <c r="T65" s="1912"/>
      <c r="U65" s="1912"/>
      <c r="V65" s="1912"/>
      <c r="W65" s="1912"/>
      <c r="X65" s="558"/>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row>
    <row r="66" spans="1:50" s="554" customFormat="1" ht="12">
      <c r="A66" s="553"/>
      <c r="B66" s="553" t="s">
        <v>3413</v>
      </c>
      <c r="C66" s="553"/>
      <c r="D66" s="553"/>
      <c r="E66" s="553"/>
      <c r="F66" s="553"/>
      <c r="G66" s="1913" t="str">
        <f>cst_wskakunin_dairi1_TEL</f>
        <v/>
      </c>
      <c r="H66" s="1913"/>
      <c r="I66" s="1913"/>
      <c r="J66" s="1913"/>
      <c r="K66" s="1913"/>
      <c r="L66" s="1913"/>
      <c r="M66" s="1913"/>
      <c r="N66" s="1913"/>
      <c r="O66" s="1913"/>
      <c r="P66" s="1913"/>
      <c r="Q66" s="1913"/>
      <c r="R66" s="1913"/>
      <c r="S66" s="1913"/>
      <c r="T66" s="1913"/>
      <c r="U66" s="1913"/>
      <c r="V66" s="1913"/>
      <c r="W66" s="1913"/>
      <c r="X66" s="558"/>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row>
    <row r="67" spans="1:50" s="554" customFormat="1" ht="12">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row>
    <row r="68" spans="1:50" s="554" customFormat="1" ht="12">
      <c r="A68" s="818" t="s">
        <v>3414</v>
      </c>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row>
    <row r="69" spans="1:50" s="554" customFormat="1" ht="12">
      <c r="A69" s="822"/>
      <c r="B69" s="553" t="s">
        <v>3415</v>
      </c>
      <c r="C69" s="553"/>
      <c r="D69" s="553"/>
      <c r="E69" s="553"/>
      <c r="F69" s="553"/>
      <c r="G69" s="553"/>
      <c r="H69" s="553"/>
      <c r="I69" s="553"/>
      <c r="J69" s="553"/>
      <c r="K69" s="553"/>
      <c r="L69" s="553"/>
      <c r="M69" s="553"/>
      <c r="N69" s="553"/>
      <c r="O69" s="553"/>
      <c r="P69" s="553"/>
      <c r="Q69" s="553"/>
      <c r="R69" s="553"/>
      <c r="S69" s="553"/>
      <c r="T69" s="553"/>
      <c r="U69" s="553"/>
      <c r="V69" s="553"/>
      <c r="W69" s="553"/>
      <c r="X69" s="553"/>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row>
    <row r="70" spans="1:50" s="554" customFormat="1" ht="12">
      <c r="A70" s="553"/>
      <c r="B70" s="553" t="s">
        <v>3409</v>
      </c>
      <c r="C70" s="553"/>
      <c r="D70" s="553"/>
      <c r="E70" s="553"/>
      <c r="F70" s="553"/>
      <c r="G70" s="1914" t="str">
        <f>cst_wskakunin_sekkei1_SIKAKU</f>
        <v/>
      </c>
      <c r="H70" s="1914"/>
      <c r="I70" s="819" t="s">
        <v>552</v>
      </c>
      <c r="J70" s="820"/>
      <c r="K70" s="1914" t="str">
        <f>cst_wskakunin_sekkei1_TOUROKU_KIKAN</f>
        <v/>
      </c>
      <c r="L70" s="1914"/>
      <c r="M70" s="1914"/>
      <c r="N70" s="1914"/>
      <c r="O70" s="819" t="s">
        <v>558</v>
      </c>
      <c r="P70" s="820"/>
      <c r="Q70" s="1915" t="str">
        <f>cst_wskakunin_sekkei1_KENTIKUSI_NO</f>
        <v/>
      </c>
      <c r="R70" s="1915"/>
      <c r="S70" s="1915"/>
      <c r="T70" s="1915"/>
      <c r="U70" s="1915"/>
      <c r="V70" s="1915"/>
      <c r="W70" s="819" t="s">
        <v>375</v>
      </c>
      <c r="X70" s="553"/>
    </row>
    <row r="71" spans="1:50" s="554" customFormat="1" ht="12">
      <c r="A71" s="553"/>
      <c r="B71" s="553" t="s">
        <v>560</v>
      </c>
      <c r="C71" s="553"/>
      <c r="D71" s="553"/>
      <c r="E71" s="553"/>
      <c r="F71" s="553"/>
      <c r="G71" s="1913" t="str">
        <f>cst_wskakunin_sekkei1_NAME</f>
        <v/>
      </c>
      <c r="H71" s="1913"/>
      <c r="I71" s="1913"/>
      <c r="J71" s="1913"/>
      <c r="K71" s="1913"/>
      <c r="L71" s="1913"/>
      <c r="M71" s="1913"/>
      <c r="N71" s="1913"/>
      <c r="O71" s="1913"/>
      <c r="P71" s="1913"/>
      <c r="Q71" s="1913"/>
      <c r="R71" s="1913"/>
      <c r="S71" s="1913"/>
      <c r="T71" s="1913"/>
      <c r="U71" s="1913"/>
      <c r="V71" s="1913"/>
      <c r="W71" s="1913"/>
      <c r="X71" s="558"/>
    </row>
    <row r="72" spans="1:50" s="554" customFormat="1" ht="12">
      <c r="A72" s="553"/>
      <c r="B72" s="553" t="s">
        <v>3410</v>
      </c>
      <c r="C72" s="553"/>
      <c r="D72" s="553"/>
      <c r="E72" s="553"/>
      <c r="F72" s="553"/>
      <c r="G72" s="1914" t="str">
        <f>cst_wskakunin_sekkei1_JIMU_SIKAKU</f>
        <v/>
      </c>
      <c r="H72" s="1914"/>
      <c r="I72" s="1916" t="s">
        <v>553</v>
      </c>
      <c r="J72" s="1916"/>
      <c r="K72" s="1916"/>
      <c r="L72" s="1914" t="str">
        <f>cst_wskakunin_sekkei1_JIMU_TOUROKU_KIKAN</f>
        <v/>
      </c>
      <c r="M72" s="1914"/>
      <c r="N72" s="1914"/>
      <c r="O72" s="819" t="s">
        <v>559</v>
      </c>
      <c r="P72" s="820"/>
      <c r="Q72" s="819"/>
      <c r="R72" s="1915" t="str">
        <f>cst_wskakunin_sekkei1_JIMU_NO</f>
        <v/>
      </c>
      <c r="S72" s="1915"/>
      <c r="T72" s="1915"/>
      <c r="U72" s="1915"/>
      <c r="V72" s="1915"/>
      <c r="W72" s="819" t="s">
        <v>375</v>
      </c>
      <c r="X72" s="558"/>
    </row>
    <row r="73" spans="1:50" s="554" customFormat="1" ht="12">
      <c r="A73" s="553"/>
      <c r="B73" s="553"/>
      <c r="C73" s="553"/>
      <c r="D73" s="553"/>
      <c r="E73" s="553"/>
      <c r="F73" s="553"/>
      <c r="G73" s="1913" t="str">
        <f>cst_wskakunin_sekkei1_JIMU_NAME</f>
        <v/>
      </c>
      <c r="H73" s="1913"/>
      <c r="I73" s="1913"/>
      <c r="J73" s="1913"/>
      <c r="K73" s="1913"/>
      <c r="L73" s="1913"/>
      <c r="M73" s="1913"/>
      <c r="N73" s="1913"/>
      <c r="O73" s="1913"/>
      <c r="P73" s="1913"/>
      <c r="Q73" s="1913"/>
      <c r="R73" s="1913"/>
      <c r="S73" s="1913"/>
      <c r="T73" s="1913"/>
      <c r="U73" s="1913"/>
      <c r="V73" s="1913"/>
      <c r="W73" s="1913"/>
      <c r="X73" s="558"/>
    </row>
    <row r="74" spans="1:50" s="554" customFormat="1" ht="12">
      <c r="A74" s="553"/>
      <c r="B74" s="553" t="s">
        <v>3411</v>
      </c>
      <c r="C74" s="553"/>
      <c r="D74" s="553"/>
      <c r="E74" s="553"/>
      <c r="F74" s="553"/>
      <c r="G74" s="559" t="s">
        <v>2429</v>
      </c>
      <c r="H74" s="1913" t="str">
        <f>cst_wskakunin_sekkei1_ZIP</f>
        <v/>
      </c>
      <c r="I74" s="1913"/>
      <c r="J74" s="1913"/>
      <c r="K74" s="1913"/>
      <c r="L74" s="1913"/>
      <c r="M74" s="1913"/>
      <c r="N74" s="1913"/>
      <c r="O74" s="1913"/>
      <c r="P74" s="1913"/>
      <c r="Q74" s="1913"/>
      <c r="R74" s="1913"/>
      <c r="S74" s="1913"/>
      <c r="T74" s="1913"/>
      <c r="U74" s="1913"/>
      <c r="V74" s="1913"/>
      <c r="W74" s="1913"/>
      <c r="X74" s="553"/>
    </row>
    <row r="75" spans="1:50" s="554" customFormat="1" ht="12">
      <c r="A75" s="553"/>
      <c r="B75" s="553" t="s">
        <v>3412</v>
      </c>
      <c r="C75" s="553"/>
      <c r="D75" s="553"/>
      <c r="E75" s="553"/>
      <c r="F75" s="553"/>
      <c r="G75" s="1912" t="str">
        <f>cst_wskakunin_sekkei1__address</f>
        <v/>
      </c>
      <c r="H75" s="1912"/>
      <c r="I75" s="1912"/>
      <c r="J75" s="1912"/>
      <c r="K75" s="1912"/>
      <c r="L75" s="1912"/>
      <c r="M75" s="1912"/>
      <c r="N75" s="1912"/>
      <c r="O75" s="1912"/>
      <c r="P75" s="1912"/>
      <c r="Q75" s="1912"/>
      <c r="R75" s="1912"/>
      <c r="S75" s="1912"/>
      <c r="T75" s="1912"/>
      <c r="U75" s="1912"/>
      <c r="V75" s="1912"/>
      <c r="W75" s="1912"/>
      <c r="X75" s="558"/>
    </row>
    <row r="76" spans="1:50" s="554" customFormat="1" ht="12">
      <c r="A76" s="553"/>
      <c r="B76" s="553"/>
      <c r="C76" s="553"/>
      <c r="D76" s="553"/>
      <c r="E76" s="553"/>
      <c r="F76" s="553"/>
      <c r="G76" s="1912"/>
      <c r="H76" s="1912"/>
      <c r="I76" s="1912"/>
      <c r="J76" s="1912"/>
      <c r="K76" s="1912"/>
      <c r="L76" s="1912"/>
      <c r="M76" s="1912"/>
      <c r="N76" s="1912"/>
      <c r="O76" s="1912"/>
      <c r="P76" s="1912"/>
      <c r="Q76" s="1912"/>
      <c r="R76" s="1912"/>
      <c r="S76" s="1912"/>
      <c r="T76" s="1912"/>
      <c r="U76" s="1912"/>
      <c r="V76" s="1912"/>
      <c r="W76" s="1912"/>
      <c r="X76" s="558"/>
    </row>
    <row r="77" spans="1:50" s="554" customFormat="1" ht="12">
      <c r="A77" s="553"/>
      <c r="B77" s="553" t="s">
        <v>3413</v>
      </c>
      <c r="C77" s="553"/>
      <c r="D77" s="553"/>
      <c r="E77" s="553"/>
      <c r="F77" s="553"/>
      <c r="G77" s="1913" t="str">
        <f>cst_wskakunin_sekkei1_TEL</f>
        <v/>
      </c>
      <c r="H77" s="1913"/>
      <c r="I77" s="1913"/>
      <c r="J77" s="1913"/>
      <c r="K77" s="1913"/>
      <c r="L77" s="1913"/>
      <c r="M77" s="1913"/>
      <c r="N77" s="1913"/>
      <c r="O77" s="1913"/>
      <c r="P77" s="1913"/>
      <c r="Q77" s="1913"/>
      <c r="R77" s="1913"/>
      <c r="S77" s="1913"/>
      <c r="T77" s="1913"/>
      <c r="U77" s="1913"/>
      <c r="V77" s="1913"/>
      <c r="W77" s="1913"/>
      <c r="X77" s="558"/>
    </row>
    <row r="78" spans="1:50" s="554" customFormat="1" ht="12">
      <c r="A78" s="553"/>
      <c r="B78" s="553" t="s">
        <v>3416</v>
      </c>
      <c r="C78" s="553"/>
      <c r="D78" s="553"/>
      <c r="E78" s="553"/>
      <c r="F78" s="553"/>
      <c r="G78" s="819"/>
      <c r="H78" s="819"/>
      <c r="I78" s="819"/>
      <c r="J78" s="1911" t="str">
        <f>cst_wskakunin_sekkei1_DOC</f>
        <v/>
      </c>
      <c r="K78" s="1911"/>
      <c r="L78" s="1911"/>
      <c r="M78" s="1911"/>
      <c r="N78" s="1911"/>
      <c r="O78" s="1911"/>
      <c r="P78" s="1911"/>
      <c r="Q78" s="1911"/>
      <c r="R78" s="1911"/>
      <c r="S78" s="1911"/>
      <c r="T78" s="1911"/>
      <c r="U78" s="1911"/>
      <c r="V78" s="1911"/>
      <c r="W78" s="1911"/>
      <c r="X78" s="558"/>
    </row>
    <row r="79" spans="1:50" s="554" customFormat="1" ht="12">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row>
    <row r="80" spans="1:50" s="554" customFormat="1" ht="12">
      <c r="A80" s="822"/>
      <c r="B80" s="553" t="s">
        <v>561</v>
      </c>
      <c r="C80" s="553"/>
      <c r="D80" s="553"/>
      <c r="E80" s="553"/>
      <c r="F80" s="553"/>
      <c r="G80" s="553"/>
      <c r="H80" s="553"/>
      <c r="I80" s="553"/>
      <c r="J80" s="553"/>
      <c r="K80" s="553"/>
      <c r="L80" s="553"/>
      <c r="M80" s="553"/>
      <c r="N80" s="553"/>
      <c r="O80" s="553"/>
      <c r="P80" s="553"/>
      <c r="Q80" s="553"/>
      <c r="R80" s="553"/>
      <c r="S80" s="553"/>
      <c r="T80" s="553"/>
      <c r="U80" s="553"/>
      <c r="V80" s="553"/>
      <c r="W80" s="553"/>
      <c r="X80" s="553"/>
    </row>
    <row r="81" spans="1:24" s="554" customFormat="1" ht="12">
      <c r="A81" s="553"/>
      <c r="B81" s="553" t="s">
        <v>3409</v>
      </c>
      <c r="C81" s="553"/>
      <c r="D81" s="553"/>
      <c r="E81" s="553"/>
      <c r="F81" s="553"/>
      <c r="G81" s="1914" t="str">
        <f>cst_wskakunin_sekkei2_SIKAKU</f>
        <v/>
      </c>
      <c r="H81" s="1914"/>
      <c r="I81" s="819" t="s">
        <v>552</v>
      </c>
      <c r="J81" s="820"/>
      <c r="K81" s="1914" t="str">
        <f>cst_wskakunin_sekkei2_TOUROKU_KIKAN</f>
        <v/>
      </c>
      <c r="L81" s="1914"/>
      <c r="M81" s="1914"/>
      <c r="N81" s="1914"/>
      <c r="O81" s="819" t="s">
        <v>558</v>
      </c>
      <c r="P81" s="820"/>
      <c r="Q81" s="1915" t="str">
        <f>cst_wskakunin_sekkei2_KENTIKUSI_NO</f>
        <v/>
      </c>
      <c r="R81" s="1915"/>
      <c r="S81" s="1915"/>
      <c r="T81" s="1915"/>
      <c r="U81" s="1915"/>
      <c r="V81" s="1915"/>
      <c r="W81" s="819" t="s">
        <v>375</v>
      </c>
      <c r="X81" s="553"/>
    </row>
    <row r="82" spans="1:24" s="554" customFormat="1" ht="12">
      <c r="A82" s="553"/>
      <c r="B82" s="553" t="s">
        <v>560</v>
      </c>
      <c r="C82" s="553"/>
      <c r="D82" s="553"/>
      <c r="E82" s="553"/>
      <c r="F82" s="553"/>
      <c r="G82" s="1913" t="str">
        <f>cst_wskakunin_sekkei2_NAME</f>
        <v/>
      </c>
      <c r="H82" s="1913"/>
      <c r="I82" s="1913"/>
      <c r="J82" s="1913"/>
      <c r="K82" s="1913"/>
      <c r="L82" s="1913"/>
      <c r="M82" s="1913"/>
      <c r="N82" s="1913"/>
      <c r="O82" s="1913"/>
      <c r="P82" s="1913"/>
      <c r="Q82" s="1913"/>
      <c r="R82" s="1913"/>
      <c r="S82" s="1913"/>
      <c r="T82" s="1913"/>
      <c r="U82" s="1913"/>
      <c r="V82" s="1913"/>
      <c r="W82" s="1913"/>
      <c r="X82" s="558"/>
    </row>
    <row r="83" spans="1:24" s="554" customFormat="1" ht="12">
      <c r="A83" s="553"/>
      <c r="B83" s="553" t="s">
        <v>3410</v>
      </c>
      <c r="C83" s="553"/>
      <c r="D83" s="553"/>
      <c r="E83" s="553"/>
      <c r="F83" s="553"/>
      <c r="G83" s="1914" t="str">
        <f>cst_wskakunin_sekkei2_JIMU_SIKAKU</f>
        <v/>
      </c>
      <c r="H83" s="1914"/>
      <c r="I83" s="1916" t="s">
        <v>553</v>
      </c>
      <c r="J83" s="1916"/>
      <c r="K83" s="1916"/>
      <c r="L83" s="1914" t="str">
        <f>cst_wskakunin_sekkei2_JIMU_TOUROKU_KIKAN</f>
        <v/>
      </c>
      <c r="M83" s="1914"/>
      <c r="N83" s="1914"/>
      <c r="O83" s="819" t="s">
        <v>559</v>
      </c>
      <c r="P83" s="820"/>
      <c r="Q83" s="819"/>
      <c r="R83" s="1915" t="str">
        <f>cst_wskakunin_sekkei2_JIMU_NO</f>
        <v/>
      </c>
      <c r="S83" s="1915"/>
      <c r="T83" s="1915"/>
      <c r="U83" s="1915"/>
      <c r="V83" s="1915"/>
      <c r="W83" s="819" t="s">
        <v>375</v>
      </c>
      <c r="X83" s="558"/>
    </row>
    <row r="84" spans="1:24" s="554" customFormat="1" ht="12">
      <c r="A84" s="553"/>
      <c r="B84" s="553"/>
      <c r="C84" s="553"/>
      <c r="D84" s="553"/>
      <c r="E84" s="553"/>
      <c r="F84" s="553"/>
      <c r="G84" s="1913" t="str">
        <f>cst_wskakunin_sekkei2_JIMU_NAME</f>
        <v/>
      </c>
      <c r="H84" s="1913"/>
      <c r="I84" s="1913"/>
      <c r="J84" s="1913"/>
      <c r="K84" s="1913"/>
      <c r="L84" s="1913"/>
      <c r="M84" s="1913"/>
      <c r="N84" s="1913"/>
      <c r="O84" s="1913"/>
      <c r="P84" s="1913"/>
      <c r="Q84" s="1913"/>
      <c r="R84" s="1913"/>
      <c r="S84" s="1913"/>
      <c r="T84" s="1913"/>
      <c r="U84" s="1913"/>
      <c r="V84" s="1913"/>
      <c r="W84" s="1913"/>
      <c r="X84" s="558"/>
    </row>
    <row r="85" spans="1:24" s="554" customFormat="1" ht="12">
      <c r="A85" s="553"/>
      <c r="B85" s="553" t="s">
        <v>3411</v>
      </c>
      <c r="C85" s="553"/>
      <c r="D85" s="553"/>
      <c r="E85" s="553"/>
      <c r="F85" s="553"/>
      <c r="G85" s="559" t="s">
        <v>2429</v>
      </c>
      <c r="H85" s="1913" t="str">
        <f>cst_wskakunin_sekkei2_ZIP</f>
        <v/>
      </c>
      <c r="I85" s="1913"/>
      <c r="J85" s="1913"/>
      <c r="K85" s="1913"/>
      <c r="L85" s="1913"/>
      <c r="M85" s="1913"/>
      <c r="N85" s="1913"/>
      <c r="O85" s="1913"/>
      <c r="P85" s="1913"/>
      <c r="Q85" s="1913"/>
      <c r="R85" s="1913"/>
      <c r="S85" s="1913"/>
      <c r="T85" s="1913"/>
      <c r="U85" s="1913"/>
      <c r="V85" s="1913"/>
      <c r="W85" s="1913"/>
      <c r="X85" s="553"/>
    </row>
    <row r="86" spans="1:24" s="554" customFormat="1" ht="12">
      <c r="A86" s="553"/>
      <c r="B86" s="553" t="s">
        <v>3412</v>
      </c>
      <c r="C86" s="553"/>
      <c r="D86" s="553"/>
      <c r="E86" s="553"/>
      <c r="F86" s="553"/>
      <c r="G86" s="1912" t="str">
        <f>cst_wskakunin_sekkei2__address</f>
        <v/>
      </c>
      <c r="H86" s="1912"/>
      <c r="I86" s="1912"/>
      <c r="J86" s="1912"/>
      <c r="K86" s="1912"/>
      <c r="L86" s="1912"/>
      <c r="M86" s="1912"/>
      <c r="N86" s="1912"/>
      <c r="O86" s="1912"/>
      <c r="P86" s="1912"/>
      <c r="Q86" s="1912"/>
      <c r="R86" s="1912"/>
      <c r="S86" s="1912"/>
      <c r="T86" s="1912"/>
      <c r="U86" s="1912"/>
      <c r="V86" s="1912"/>
      <c r="W86" s="1912"/>
      <c r="X86" s="558"/>
    </row>
    <row r="87" spans="1:24" s="554" customFormat="1" ht="12">
      <c r="A87" s="553"/>
      <c r="B87" s="553"/>
      <c r="C87" s="553"/>
      <c r="D87" s="553"/>
      <c r="E87" s="553"/>
      <c r="F87" s="553"/>
      <c r="G87" s="1912"/>
      <c r="H87" s="1912"/>
      <c r="I87" s="1912"/>
      <c r="J87" s="1912"/>
      <c r="K87" s="1912"/>
      <c r="L87" s="1912"/>
      <c r="M87" s="1912"/>
      <c r="N87" s="1912"/>
      <c r="O87" s="1912"/>
      <c r="P87" s="1912"/>
      <c r="Q87" s="1912"/>
      <c r="R87" s="1912"/>
      <c r="S87" s="1912"/>
      <c r="T87" s="1912"/>
      <c r="U87" s="1912"/>
      <c r="V87" s="1912"/>
      <c r="W87" s="1912"/>
      <c r="X87" s="558"/>
    </row>
    <row r="88" spans="1:24" s="554" customFormat="1" ht="12">
      <c r="A88" s="553"/>
      <c r="B88" s="553" t="s">
        <v>3413</v>
      </c>
      <c r="C88" s="553"/>
      <c r="D88" s="553"/>
      <c r="E88" s="553"/>
      <c r="F88" s="553"/>
      <c r="G88" s="1913" t="str">
        <f>cst_wskakunin_sekkei2_TEL</f>
        <v/>
      </c>
      <c r="H88" s="1913"/>
      <c r="I88" s="1913"/>
      <c r="J88" s="1913"/>
      <c r="K88" s="1913"/>
      <c r="L88" s="1913"/>
      <c r="M88" s="1913"/>
      <c r="N88" s="1913"/>
      <c r="O88" s="1913"/>
      <c r="P88" s="1913"/>
      <c r="Q88" s="1913"/>
      <c r="R88" s="1913"/>
      <c r="S88" s="1913"/>
      <c r="T88" s="1913"/>
      <c r="U88" s="1913"/>
      <c r="V88" s="1913"/>
      <c r="W88" s="1913"/>
      <c r="X88" s="558"/>
    </row>
    <row r="89" spans="1:24" s="554" customFormat="1" ht="12">
      <c r="A89" s="553"/>
      <c r="B89" s="553" t="s">
        <v>3416</v>
      </c>
      <c r="C89" s="553"/>
      <c r="D89" s="553"/>
      <c r="E89" s="553"/>
      <c r="F89" s="553"/>
      <c r="G89" s="819"/>
      <c r="H89" s="819"/>
      <c r="I89" s="819"/>
      <c r="J89" s="1911" t="str">
        <f>cst_wskakunin_sekkei2_DOC</f>
        <v/>
      </c>
      <c r="K89" s="1911"/>
      <c r="L89" s="1911"/>
      <c r="M89" s="1911"/>
      <c r="N89" s="1911"/>
      <c r="O89" s="1911"/>
      <c r="P89" s="1911"/>
      <c r="Q89" s="1911"/>
      <c r="R89" s="1911"/>
      <c r="S89" s="1911"/>
      <c r="T89" s="1911"/>
      <c r="U89" s="1911"/>
      <c r="V89" s="1911"/>
      <c r="W89" s="1911"/>
      <c r="X89" s="558"/>
    </row>
    <row r="90" spans="1:24" s="554" customFormat="1" ht="12">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554" customFormat="1" ht="12">
      <c r="A91" s="553"/>
      <c r="B91" s="553" t="s">
        <v>3409</v>
      </c>
      <c r="C91" s="553"/>
      <c r="D91" s="553"/>
      <c r="E91" s="553"/>
      <c r="F91" s="553"/>
      <c r="G91" s="1914" t="str">
        <f>cst_wskakunin_sekkei3_SIKAKU</f>
        <v/>
      </c>
      <c r="H91" s="1914"/>
      <c r="I91" s="819" t="s">
        <v>552</v>
      </c>
      <c r="J91" s="820"/>
      <c r="K91" s="1914" t="str">
        <f>cst_wskakunin_sekkei3_TOUROKU_KIKAN</f>
        <v/>
      </c>
      <c r="L91" s="1914"/>
      <c r="M91" s="1914"/>
      <c r="N91" s="1914"/>
      <c r="O91" s="819" t="s">
        <v>558</v>
      </c>
      <c r="P91" s="820"/>
      <c r="Q91" s="1915" t="str">
        <f>cst_wskakunin_sekkei3_KENTIKUSI_NO</f>
        <v/>
      </c>
      <c r="R91" s="1915"/>
      <c r="S91" s="1915"/>
      <c r="T91" s="1915"/>
      <c r="U91" s="1915"/>
      <c r="V91" s="1915"/>
      <c r="W91" s="819" t="s">
        <v>375</v>
      </c>
      <c r="X91" s="553"/>
    </row>
    <row r="92" spans="1:24" s="554" customFormat="1" ht="12">
      <c r="A92" s="553"/>
      <c r="B92" s="553" t="s">
        <v>560</v>
      </c>
      <c r="C92" s="553"/>
      <c r="D92" s="553"/>
      <c r="E92" s="553"/>
      <c r="F92" s="553"/>
      <c r="G92" s="1913" t="str">
        <f>cst_wskakunin_sekkei3_NAME</f>
        <v/>
      </c>
      <c r="H92" s="1913"/>
      <c r="I92" s="1913"/>
      <c r="J92" s="1913"/>
      <c r="K92" s="1913"/>
      <c r="L92" s="1913"/>
      <c r="M92" s="1913"/>
      <c r="N92" s="1913"/>
      <c r="O92" s="1913"/>
      <c r="P92" s="1913"/>
      <c r="Q92" s="1913"/>
      <c r="R92" s="1913"/>
      <c r="S92" s="1913"/>
      <c r="T92" s="1913"/>
      <c r="U92" s="1913"/>
      <c r="V92" s="1913"/>
      <c r="W92" s="1913"/>
      <c r="X92" s="558"/>
    </row>
    <row r="93" spans="1:24" s="554" customFormat="1" ht="12">
      <c r="A93" s="553"/>
      <c r="B93" s="553" t="s">
        <v>3410</v>
      </c>
      <c r="C93" s="553"/>
      <c r="D93" s="553"/>
      <c r="E93" s="553"/>
      <c r="F93" s="553"/>
      <c r="G93" s="1914" t="str">
        <f>cst_wskakunin_sekkei3_JIMU_SIKAKU</f>
        <v/>
      </c>
      <c r="H93" s="1914"/>
      <c r="I93" s="1916" t="s">
        <v>553</v>
      </c>
      <c r="J93" s="1916"/>
      <c r="K93" s="1916"/>
      <c r="L93" s="1914" t="str">
        <f>cst_wskakunin_sekkei3_JIMU_TOUROKU_KIKAN</f>
        <v/>
      </c>
      <c r="M93" s="1914"/>
      <c r="N93" s="1914"/>
      <c r="O93" s="819" t="s">
        <v>559</v>
      </c>
      <c r="P93" s="820"/>
      <c r="Q93" s="819"/>
      <c r="R93" s="1915" t="str">
        <f>cst_wskakunin_sekkei3_JIMU_NO</f>
        <v/>
      </c>
      <c r="S93" s="1915"/>
      <c r="T93" s="1915"/>
      <c r="U93" s="1915"/>
      <c r="V93" s="1915"/>
      <c r="W93" s="819" t="s">
        <v>375</v>
      </c>
      <c r="X93" s="558"/>
    </row>
    <row r="94" spans="1:24" s="554" customFormat="1" ht="12">
      <c r="A94" s="553"/>
      <c r="B94" s="553"/>
      <c r="C94" s="553"/>
      <c r="D94" s="553"/>
      <c r="E94" s="553"/>
      <c r="F94" s="553"/>
      <c r="G94" s="1913" t="str">
        <f>cst_wskakunin_sekkei3_JIMU_NAME</f>
        <v/>
      </c>
      <c r="H94" s="1913"/>
      <c r="I94" s="1913"/>
      <c r="J94" s="1913"/>
      <c r="K94" s="1913"/>
      <c r="L94" s="1913"/>
      <c r="M94" s="1913"/>
      <c r="N94" s="1913"/>
      <c r="O94" s="1913"/>
      <c r="P94" s="1913"/>
      <c r="Q94" s="1913"/>
      <c r="R94" s="1913"/>
      <c r="S94" s="1913"/>
      <c r="T94" s="1913"/>
      <c r="U94" s="1913"/>
      <c r="V94" s="1913"/>
      <c r="W94" s="1913"/>
      <c r="X94" s="558"/>
    </row>
    <row r="95" spans="1:24" s="554" customFormat="1" ht="12">
      <c r="A95" s="553"/>
      <c r="B95" s="553" t="s">
        <v>3411</v>
      </c>
      <c r="C95" s="553"/>
      <c r="D95" s="553"/>
      <c r="E95" s="553"/>
      <c r="F95" s="553"/>
      <c r="G95" s="559" t="s">
        <v>2429</v>
      </c>
      <c r="H95" s="1913" t="str">
        <f>cst_wskakunin_sekkei3_ZIP</f>
        <v/>
      </c>
      <c r="I95" s="1913"/>
      <c r="J95" s="1913"/>
      <c r="K95" s="1913"/>
      <c r="L95" s="1913"/>
      <c r="M95" s="1913"/>
      <c r="N95" s="1913"/>
      <c r="O95" s="1913"/>
      <c r="P95" s="1913"/>
      <c r="Q95" s="1913"/>
      <c r="R95" s="1913"/>
      <c r="S95" s="1913"/>
      <c r="T95" s="1913"/>
      <c r="U95" s="1913"/>
      <c r="V95" s="1913"/>
      <c r="W95" s="1913"/>
      <c r="X95" s="553"/>
    </row>
    <row r="96" spans="1:24" s="554" customFormat="1" ht="12">
      <c r="A96" s="553"/>
      <c r="B96" s="553" t="s">
        <v>3412</v>
      </c>
      <c r="C96" s="553"/>
      <c r="D96" s="553"/>
      <c r="E96" s="553"/>
      <c r="F96" s="553"/>
      <c r="G96" s="1912" t="str">
        <f>cst_wskakunin_sekkei3__address</f>
        <v/>
      </c>
      <c r="H96" s="1912"/>
      <c r="I96" s="1912"/>
      <c r="J96" s="1912"/>
      <c r="K96" s="1912"/>
      <c r="L96" s="1912"/>
      <c r="M96" s="1912"/>
      <c r="N96" s="1912"/>
      <c r="O96" s="1912"/>
      <c r="P96" s="1912"/>
      <c r="Q96" s="1912"/>
      <c r="R96" s="1912"/>
      <c r="S96" s="1912"/>
      <c r="T96" s="1912"/>
      <c r="U96" s="1912"/>
      <c r="V96" s="1912"/>
      <c r="W96" s="1912"/>
      <c r="X96" s="558"/>
    </row>
    <row r="97" spans="1:50" s="554" customFormat="1" ht="12">
      <c r="A97" s="553"/>
      <c r="B97" s="553"/>
      <c r="C97" s="553"/>
      <c r="D97" s="553"/>
      <c r="E97" s="553"/>
      <c r="F97" s="553"/>
      <c r="G97" s="1912"/>
      <c r="H97" s="1912"/>
      <c r="I97" s="1912"/>
      <c r="J97" s="1912"/>
      <c r="K97" s="1912"/>
      <c r="L97" s="1912"/>
      <c r="M97" s="1912"/>
      <c r="N97" s="1912"/>
      <c r="O97" s="1912"/>
      <c r="P97" s="1912"/>
      <c r="Q97" s="1912"/>
      <c r="R97" s="1912"/>
      <c r="S97" s="1912"/>
      <c r="T97" s="1912"/>
      <c r="U97" s="1912"/>
      <c r="V97" s="1912"/>
      <c r="W97" s="1912"/>
      <c r="X97" s="558"/>
    </row>
    <row r="98" spans="1:50" s="554" customFormat="1" ht="12">
      <c r="A98" s="553"/>
      <c r="B98" s="553" t="s">
        <v>3413</v>
      </c>
      <c r="C98" s="553"/>
      <c r="D98" s="553"/>
      <c r="E98" s="553"/>
      <c r="F98" s="553"/>
      <c r="G98" s="1913" t="str">
        <f>cst_wskakunin_sekkei3_TEL</f>
        <v/>
      </c>
      <c r="H98" s="1913"/>
      <c r="I98" s="1913"/>
      <c r="J98" s="1913"/>
      <c r="K98" s="1913"/>
      <c r="L98" s="1913"/>
      <c r="M98" s="1913"/>
      <c r="N98" s="1913"/>
      <c r="O98" s="1913"/>
      <c r="P98" s="1913"/>
      <c r="Q98" s="1913"/>
      <c r="R98" s="1913"/>
      <c r="S98" s="1913"/>
      <c r="T98" s="1913"/>
      <c r="U98" s="1913"/>
      <c r="V98" s="1913"/>
      <c r="W98" s="1913"/>
      <c r="X98" s="558"/>
    </row>
    <row r="99" spans="1:50" s="554" customFormat="1" ht="12">
      <c r="A99" s="553"/>
      <c r="B99" s="553" t="s">
        <v>3416</v>
      </c>
      <c r="C99" s="553"/>
      <c r="D99" s="553"/>
      <c r="E99" s="553"/>
      <c r="F99" s="553"/>
      <c r="G99" s="819"/>
      <c r="H99" s="819"/>
      <c r="I99" s="819"/>
      <c r="J99" s="1911" t="str">
        <f>cst_wskakunin_sekkei3_DOC</f>
        <v/>
      </c>
      <c r="K99" s="1911"/>
      <c r="L99" s="1911"/>
      <c r="M99" s="1911"/>
      <c r="N99" s="1911"/>
      <c r="O99" s="1911"/>
      <c r="P99" s="1911"/>
      <c r="Q99" s="1911"/>
      <c r="R99" s="1911"/>
      <c r="S99" s="1911"/>
      <c r="T99" s="1911"/>
      <c r="U99" s="1911"/>
      <c r="V99" s="1911"/>
      <c r="W99" s="1911"/>
      <c r="X99" s="558"/>
    </row>
    <row r="100" spans="1:50" s="554" customFormat="1" ht="12">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50" s="554" customFormat="1" ht="13.5">
      <c r="A101" s="553"/>
      <c r="B101" s="553" t="s">
        <v>3409</v>
      </c>
      <c r="C101" s="553"/>
      <c r="D101" s="553"/>
      <c r="E101" s="553"/>
      <c r="F101" s="553"/>
      <c r="G101" s="1914" t="str">
        <f>cst_wskakunin_sekkei4_SIKAKU</f>
        <v/>
      </c>
      <c r="H101" s="1914"/>
      <c r="I101" s="819" t="s">
        <v>552</v>
      </c>
      <c r="J101" s="820"/>
      <c r="K101" s="1914" t="str">
        <f>cst_wskakunin_sekkei4_TOUROKU_KIKAN</f>
        <v/>
      </c>
      <c r="L101" s="1914"/>
      <c r="M101" s="1914"/>
      <c r="N101" s="1914"/>
      <c r="O101" s="819" t="s">
        <v>558</v>
      </c>
      <c r="P101" s="820"/>
      <c r="Q101" s="1915" t="str">
        <f>cst_wskakunin_sekkei4_KENTIKUSI_NO</f>
        <v/>
      </c>
      <c r="R101" s="1915"/>
      <c r="S101" s="1915"/>
      <c r="T101" s="1915"/>
      <c r="U101" s="1915"/>
      <c r="V101" s="1915"/>
      <c r="W101" s="819" t="s">
        <v>375</v>
      </c>
      <c r="X101" s="553"/>
      <c r="AH101" s="793" t="s">
        <v>3093</v>
      </c>
      <c r="AI101" s="793"/>
      <c r="AJ101" s="733"/>
      <c r="AK101" s="792"/>
      <c r="AL101" s="792"/>
      <c r="AM101" s="792"/>
      <c r="AN101" s="792"/>
      <c r="AO101" s="792"/>
    </row>
    <row r="102" spans="1:50" s="554" customFormat="1" ht="12">
      <c r="A102" s="553"/>
      <c r="B102" s="553" t="s">
        <v>560</v>
      </c>
      <c r="C102" s="553"/>
      <c r="D102" s="553"/>
      <c r="E102" s="553"/>
      <c r="F102" s="553"/>
      <c r="G102" s="1913" t="str">
        <f>cst_wskakunin_sekkei4_NAME</f>
        <v/>
      </c>
      <c r="H102" s="1913"/>
      <c r="I102" s="1913"/>
      <c r="J102" s="1913"/>
      <c r="K102" s="1913"/>
      <c r="L102" s="1913"/>
      <c r="M102" s="1913"/>
      <c r="N102" s="1913"/>
      <c r="O102" s="1913"/>
      <c r="P102" s="1913"/>
      <c r="Q102" s="1913"/>
      <c r="R102" s="1913"/>
      <c r="S102" s="1913"/>
      <c r="T102" s="1913"/>
      <c r="U102" s="1913"/>
      <c r="V102" s="1913"/>
      <c r="W102" s="1913"/>
      <c r="X102" s="558"/>
      <c r="AH102" s="794" t="s">
        <v>2845</v>
      </c>
      <c r="AI102" s="793"/>
      <c r="AJ102" s="795"/>
      <c r="AK102" s="792"/>
      <c r="AL102" s="792"/>
      <c r="AM102" s="792"/>
      <c r="AN102" s="792"/>
      <c r="AO102" s="792"/>
    </row>
    <row r="103" spans="1:50" s="554" customFormat="1" ht="13.5">
      <c r="A103" s="553"/>
      <c r="B103" s="553" t="s">
        <v>3410</v>
      </c>
      <c r="C103" s="553"/>
      <c r="D103" s="553"/>
      <c r="E103" s="553"/>
      <c r="F103" s="553"/>
      <c r="G103" s="1914" t="str">
        <f>cst_wskakunin_sekkei4_JIMU_SIKAKU</f>
        <v/>
      </c>
      <c r="H103" s="1914"/>
      <c r="I103" s="1916" t="s">
        <v>553</v>
      </c>
      <c r="J103" s="1916"/>
      <c r="K103" s="1916"/>
      <c r="L103" s="1914" t="str">
        <f>cst_wskakunin_sekkei4_JIMU_TOUROKU_KIKAN</f>
        <v/>
      </c>
      <c r="M103" s="1914"/>
      <c r="N103" s="1914"/>
      <c r="O103" s="819" t="s">
        <v>559</v>
      </c>
      <c r="P103" s="820"/>
      <c r="Q103" s="819"/>
      <c r="R103" s="1915" t="str">
        <f>cst_wskakunin_sekkei4_JIMU_NO</f>
        <v/>
      </c>
      <c r="S103" s="1915"/>
      <c r="T103" s="1915"/>
      <c r="U103" s="1915"/>
      <c r="V103" s="1915"/>
      <c r="W103" s="819" t="s">
        <v>375</v>
      </c>
      <c r="X103" s="558"/>
      <c r="AH103" s="796" t="str">
        <f>HYPERLINK("#A1：X46")</f>
        <v>#A1：X46</v>
      </c>
      <c r="AI103" s="797" t="s">
        <v>2723</v>
      </c>
      <c r="AJ103" s="798"/>
      <c r="AK103" s="799"/>
      <c r="AL103" s="799"/>
      <c r="AM103" s="799"/>
      <c r="AN103" s="799"/>
      <c r="AO103" s="799"/>
    </row>
    <row r="104" spans="1:50" s="554" customFormat="1" ht="13.5">
      <c r="A104" s="553"/>
      <c r="B104" s="553"/>
      <c r="C104" s="553"/>
      <c r="D104" s="553"/>
      <c r="E104" s="553"/>
      <c r="F104" s="553"/>
      <c r="G104" s="1913" t="str">
        <f>cst_wskakunin_sekkei4_JIMU_NAME</f>
        <v/>
      </c>
      <c r="H104" s="1913"/>
      <c r="I104" s="1913"/>
      <c r="J104" s="1913"/>
      <c r="K104" s="1913"/>
      <c r="L104" s="1913"/>
      <c r="M104" s="1913"/>
      <c r="N104" s="1913"/>
      <c r="O104" s="1913"/>
      <c r="P104" s="1913"/>
      <c r="Q104" s="1913"/>
      <c r="R104" s="1913"/>
      <c r="S104" s="1913"/>
      <c r="T104" s="1913"/>
      <c r="U104" s="1913"/>
      <c r="V104" s="1913"/>
      <c r="W104" s="1913"/>
      <c r="X104" s="558"/>
      <c r="AH104" s="796" t="str">
        <f>HYPERLINK("#A47：X100")</f>
        <v>#A47：X100</v>
      </c>
      <c r="AI104" s="800" t="s">
        <v>2726</v>
      </c>
      <c r="AJ104" s="560"/>
      <c r="AK104" s="561"/>
      <c r="AL104" s="561"/>
      <c r="AM104" s="561"/>
      <c r="AN104" s="561"/>
      <c r="AO104" s="801"/>
    </row>
    <row r="105" spans="1:50" s="554" customFormat="1" ht="13.5">
      <c r="A105" s="553"/>
      <c r="B105" s="553" t="s">
        <v>3411</v>
      </c>
      <c r="C105" s="553"/>
      <c r="D105" s="553"/>
      <c r="E105" s="553"/>
      <c r="F105" s="553"/>
      <c r="G105" s="559" t="s">
        <v>2429</v>
      </c>
      <c r="H105" s="1913" t="str">
        <f>cst_wskakunin_sekkei4_ZIP</f>
        <v/>
      </c>
      <c r="I105" s="1913"/>
      <c r="J105" s="1913"/>
      <c r="K105" s="1913"/>
      <c r="L105" s="1913"/>
      <c r="M105" s="1913"/>
      <c r="N105" s="1913"/>
      <c r="O105" s="1913"/>
      <c r="P105" s="1913"/>
      <c r="Q105" s="1913"/>
      <c r="R105" s="1913"/>
      <c r="S105" s="1913"/>
      <c r="T105" s="1913"/>
      <c r="U105" s="1913"/>
      <c r="V105" s="1913"/>
      <c r="W105" s="1913"/>
      <c r="X105" s="553"/>
      <c r="AH105" s="796" t="str">
        <f>HYPERLINK("#A101：X154")</f>
        <v>#A101：X154</v>
      </c>
      <c r="AI105" s="800" t="s">
        <v>3094</v>
      </c>
      <c r="AJ105" s="562"/>
      <c r="AK105" s="561"/>
      <c r="AL105" s="561"/>
      <c r="AM105" s="561"/>
      <c r="AN105" s="561"/>
      <c r="AO105" s="801"/>
    </row>
    <row r="106" spans="1:50" s="554" customFormat="1" ht="13.5">
      <c r="A106" s="553"/>
      <c r="B106" s="553" t="s">
        <v>3412</v>
      </c>
      <c r="C106" s="553"/>
      <c r="D106" s="553"/>
      <c r="E106" s="553"/>
      <c r="F106" s="553"/>
      <c r="G106" s="1912" t="str">
        <f>cst_wskakunin_sekkei4__address</f>
        <v/>
      </c>
      <c r="H106" s="1912"/>
      <c r="I106" s="1912"/>
      <c r="J106" s="1912"/>
      <c r="K106" s="1912"/>
      <c r="L106" s="1912"/>
      <c r="M106" s="1912"/>
      <c r="N106" s="1912"/>
      <c r="O106" s="1912"/>
      <c r="P106" s="1912"/>
      <c r="Q106" s="1912"/>
      <c r="R106" s="1912"/>
      <c r="S106" s="1912"/>
      <c r="T106" s="1912"/>
      <c r="U106" s="1912"/>
      <c r="V106" s="1912"/>
      <c r="W106" s="1912"/>
      <c r="X106" s="558"/>
      <c r="AH106" s="796" t="str">
        <f>HYPERLINK("#A155：X208")</f>
        <v>#A155：X208</v>
      </c>
      <c r="AI106" s="800" t="s">
        <v>3385</v>
      </c>
      <c r="AJ106" s="562"/>
      <c r="AK106" s="561"/>
      <c r="AL106" s="561"/>
      <c r="AM106" s="561"/>
      <c r="AN106" s="561"/>
      <c r="AO106" s="801"/>
    </row>
    <row r="107" spans="1:50" s="554" customFormat="1" ht="13.5">
      <c r="A107" s="553"/>
      <c r="B107" s="553"/>
      <c r="C107" s="553"/>
      <c r="D107" s="553"/>
      <c r="E107" s="553"/>
      <c r="F107" s="553"/>
      <c r="G107" s="1912"/>
      <c r="H107" s="1912"/>
      <c r="I107" s="1912"/>
      <c r="J107" s="1912"/>
      <c r="K107" s="1912"/>
      <c r="L107" s="1912"/>
      <c r="M107" s="1912"/>
      <c r="N107" s="1912"/>
      <c r="O107" s="1912"/>
      <c r="P107" s="1912"/>
      <c r="Q107" s="1912"/>
      <c r="R107" s="1912"/>
      <c r="S107" s="1912"/>
      <c r="T107" s="1912"/>
      <c r="U107" s="1912"/>
      <c r="V107" s="1912"/>
      <c r="W107" s="1912"/>
      <c r="X107" s="558"/>
      <c r="AH107" s="796" t="str">
        <f>HYPERLINK("#A209：X262")</f>
        <v>#A209：X262</v>
      </c>
      <c r="AI107" s="800" t="s">
        <v>3098</v>
      </c>
      <c r="AJ107" s="560"/>
      <c r="AK107" s="561"/>
      <c r="AL107" s="561"/>
      <c r="AM107" s="561"/>
      <c r="AN107" s="561"/>
      <c r="AO107" s="801"/>
    </row>
    <row r="108" spans="1:50" s="554" customFormat="1" ht="13.5">
      <c r="A108" s="553"/>
      <c r="B108" s="553" t="s">
        <v>3413</v>
      </c>
      <c r="C108" s="553"/>
      <c r="D108" s="553"/>
      <c r="E108" s="553"/>
      <c r="F108" s="553"/>
      <c r="G108" s="1913" t="str">
        <f>cst_wskakunin_sekkei4_TEL</f>
        <v/>
      </c>
      <c r="H108" s="1913"/>
      <c r="I108" s="1913"/>
      <c r="J108" s="1913"/>
      <c r="K108" s="1913"/>
      <c r="L108" s="1913"/>
      <c r="M108" s="1913"/>
      <c r="N108" s="1913"/>
      <c r="O108" s="1913"/>
      <c r="P108" s="1913"/>
      <c r="Q108" s="1913"/>
      <c r="R108" s="1913"/>
      <c r="S108" s="1913"/>
      <c r="T108" s="1913"/>
      <c r="U108" s="1913"/>
      <c r="V108" s="1913"/>
      <c r="W108" s="1913"/>
      <c r="X108" s="558"/>
      <c r="AH108" s="796" t="str">
        <f>HYPERLINK("#A263：X305")</f>
        <v>#A263：X305</v>
      </c>
      <c r="AI108" s="800" t="s">
        <v>3095</v>
      </c>
      <c r="AJ108" s="562"/>
      <c r="AK108" s="561"/>
      <c r="AL108" s="561"/>
      <c r="AM108" s="561"/>
      <c r="AN108" s="561"/>
      <c r="AO108" s="801"/>
    </row>
    <row r="109" spans="1:50" s="554" customFormat="1" ht="13.5">
      <c r="A109" s="553"/>
      <c r="B109" s="553" t="s">
        <v>3416</v>
      </c>
      <c r="C109" s="553"/>
      <c r="D109" s="553"/>
      <c r="E109" s="553"/>
      <c r="F109" s="553"/>
      <c r="G109" s="819"/>
      <c r="H109" s="819"/>
      <c r="I109" s="819"/>
      <c r="J109" s="1911" t="str">
        <f>cst_wskakunin_sekkei4_DOC</f>
        <v/>
      </c>
      <c r="K109" s="1911"/>
      <c r="L109" s="1911"/>
      <c r="M109" s="1911"/>
      <c r="N109" s="1911"/>
      <c r="O109" s="1911"/>
      <c r="P109" s="1911"/>
      <c r="Q109" s="1911"/>
      <c r="R109" s="1911"/>
      <c r="S109" s="1911"/>
      <c r="T109" s="1911"/>
      <c r="U109" s="1911"/>
      <c r="V109" s="1911"/>
      <c r="W109" s="1911"/>
      <c r="X109" s="558"/>
      <c r="AH109" s="796" t="str">
        <f>HYPERLINK("#A306：X359")</f>
        <v>#A306：X359</v>
      </c>
      <c r="AI109" s="800" t="s">
        <v>3096</v>
      </c>
      <c r="AJ109" s="801"/>
      <c r="AK109" s="801"/>
      <c r="AL109" s="801"/>
      <c r="AM109" s="801"/>
      <c r="AN109" s="801"/>
      <c r="AO109" s="801"/>
    </row>
    <row r="110" spans="1:50" s="554" customFormat="1" ht="13.5">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AH110" s="796" t="str">
        <f>HYPERLINK("#A360：X413")</f>
        <v>#A360：X413</v>
      </c>
      <c r="AI110" s="800" t="s">
        <v>3387</v>
      </c>
      <c r="AJ110" s="801"/>
      <c r="AK110" s="801"/>
      <c r="AL110" s="801"/>
      <c r="AM110" s="801"/>
      <c r="AN110" s="801"/>
      <c r="AO110" s="801"/>
    </row>
    <row r="111" spans="1:50" s="554" customFormat="1" ht="12">
      <c r="A111" s="818" t="s">
        <v>3417</v>
      </c>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row>
    <row r="112" spans="1:50" s="554" customFormat="1" ht="12">
      <c r="A112" s="822"/>
      <c r="B112" s="553" t="s">
        <v>562</v>
      </c>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AC112" s="821"/>
      <c r="AD112" s="821"/>
      <c r="AE112" s="821"/>
      <c r="AF112" s="821"/>
      <c r="AG112" s="821"/>
      <c r="AH112" s="821"/>
      <c r="AI112" s="821"/>
      <c r="AJ112" s="821"/>
      <c r="AK112" s="821"/>
      <c r="AL112" s="821"/>
      <c r="AM112" s="821"/>
      <c r="AN112" s="821"/>
      <c r="AO112" s="821"/>
      <c r="AP112" s="821"/>
      <c r="AQ112" s="821"/>
      <c r="AR112" s="821"/>
      <c r="AS112" s="821"/>
      <c r="AT112" s="821"/>
      <c r="AU112" s="821"/>
      <c r="AV112" s="821"/>
      <c r="AW112" s="821"/>
      <c r="AX112" s="821"/>
    </row>
    <row r="113" spans="1:24" s="554" customFormat="1" ht="12">
      <c r="A113" s="553"/>
      <c r="B113" s="553" t="s">
        <v>3409</v>
      </c>
      <c r="C113" s="553"/>
      <c r="D113" s="553"/>
      <c r="E113" s="553"/>
      <c r="F113" s="553"/>
      <c r="G113" s="1914" t="str">
        <f>cst_wskakunin_kanri1_SIKAKU</f>
        <v/>
      </c>
      <c r="H113" s="1914"/>
      <c r="I113" s="819" t="s">
        <v>552</v>
      </c>
      <c r="J113" s="820"/>
      <c r="K113" s="1914" t="str">
        <f>cst_wskakunin_kanri1_TOUROKU_KIKAN</f>
        <v/>
      </c>
      <c r="L113" s="1914"/>
      <c r="M113" s="1914"/>
      <c r="N113" s="1914"/>
      <c r="O113" s="819" t="s">
        <v>558</v>
      </c>
      <c r="P113" s="820"/>
      <c r="Q113" s="1915" t="str">
        <f>cst_wskakunin_kanri1_KENTIKUSI_NO</f>
        <v/>
      </c>
      <c r="R113" s="1915"/>
      <c r="S113" s="1915"/>
      <c r="T113" s="1915"/>
      <c r="U113" s="1915"/>
      <c r="V113" s="1915"/>
      <c r="W113" s="819" t="s">
        <v>375</v>
      </c>
      <c r="X113" s="553"/>
    </row>
    <row r="114" spans="1:24" s="554" customFormat="1" ht="12">
      <c r="A114" s="553"/>
      <c r="B114" s="553" t="s">
        <v>560</v>
      </c>
      <c r="C114" s="553"/>
      <c r="D114" s="553"/>
      <c r="E114" s="553"/>
      <c r="F114" s="553"/>
      <c r="G114" s="1913" t="str">
        <f>cst_wskakunin_kanri1_NAME</f>
        <v/>
      </c>
      <c r="H114" s="1913"/>
      <c r="I114" s="1913"/>
      <c r="J114" s="1913"/>
      <c r="K114" s="1913"/>
      <c r="L114" s="1913"/>
      <c r="M114" s="1913"/>
      <c r="N114" s="1913"/>
      <c r="O114" s="1913"/>
      <c r="P114" s="1913"/>
      <c r="Q114" s="1913"/>
      <c r="R114" s="1913"/>
      <c r="S114" s="1913"/>
      <c r="T114" s="1913"/>
      <c r="U114" s="1913"/>
      <c r="V114" s="1913"/>
      <c r="W114" s="1913"/>
      <c r="X114" s="558"/>
    </row>
    <row r="115" spans="1:24" s="554" customFormat="1" ht="12">
      <c r="A115" s="553"/>
      <c r="B115" s="553" t="s">
        <v>3410</v>
      </c>
      <c r="C115" s="553"/>
      <c r="D115" s="553"/>
      <c r="E115" s="553"/>
      <c r="F115" s="553"/>
      <c r="G115" s="1914" t="str">
        <f>cst_wskakunin_kanri1_JIMU_SIKAKU</f>
        <v/>
      </c>
      <c r="H115" s="1914"/>
      <c r="I115" s="1916" t="s">
        <v>553</v>
      </c>
      <c r="J115" s="1916"/>
      <c r="K115" s="1916"/>
      <c r="L115" s="1914" t="str">
        <f>cst_wskakunin_kanri1_JIMU_TOUROKU_KIKAN</f>
        <v/>
      </c>
      <c r="M115" s="1914"/>
      <c r="N115" s="1914"/>
      <c r="O115" s="819" t="s">
        <v>559</v>
      </c>
      <c r="P115" s="820"/>
      <c r="Q115" s="819"/>
      <c r="R115" s="1915" t="str">
        <f>cst_wskakunin_kanri1_JIMU_NO</f>
        <v/>
      </c>
      <c r="S115" s="1915"/>
      <c r="T115" s="1915"/>
      <c r="U115" s="1915"/>
      <c r="V115" s="1915"/>
      <c r="W115" s="819" t="s">
        <v>375</v>
      </c>
      <c r="X115" s="558"/>
    </row>
    <row r="116" spans="1:24" s="554" customFormat="1" ht="12">
      <c r="A116" s="553"/>
      <c r="B116" s="553"/>
      <c r="C116" s="553"/>
      <c r="D116" s="553"/>
      <c r="E116" s="553"/>
      <c r="F116" s="553"/>
      <c r="G116" s="1913" t="str">
        <f>cst_wskakunin_kanri1_JIMU_NAME</f>
        <v/>
      </c>
      <c r="H116" s="1913"/>
      <c r="I116" s="1913"/>
      <c r="J116" s="1913"/>
      <c r="K116" s="1913"/>
      <c r="L116" s="1913"/>
      <c r="M116" s="1913"/>
      <c r="N116" s="1913"/>
      <c r="O116" s="1913"/>
      <c r="P116" s="1913"/>
      <c r="Q116" s="1913"/>
      <c r="R116" s="1913"/>
      <c r="S116" s="1913"/>
      <c r="T116" s="1913"/>
      <c r="U116" s="1913"/>
      <c r="V116" s="1913"/>
      <c r="W116" s="1913"/>
      <c r="X116" s="558"/>
    </row>
    <row r="117" spans="1:24" s="554" customFormat="1" ht="12">
      <c r="A117" s="553"/>
      <c r="B117" s="553" t="s">
        <v>3411</v>
      </c>
      <c r="C117" s="553"/>
      <c r="D117" s="553"/>
      <c r="E117" s="553"/>
      <c r="F117" s="553"/>
      <c r="G117" s="559" t="s">
        <v>2429</v>
      </c>
      <c r="H117" s="1913" t="str">
        <f>cst_wskakunin_kanri1_ZIP</f>
        <v/>
      </c>
      <c r="I117" s="1913"/>
      <c r="J117" s="1913"/>
      <c r="K117" s="1913"/>
      <c r="L117" s="1913"/>
      <c r="M117" s="1913"/>
      <c r="N117" s="1913"/>
      <c r="O117" s="1913"/>
      <c r="P117" s="1913"/>
      <c r="Q117" s="1913"/>
      <c r="R117" s="1913"/>
      <c r="S117" s="1913"/>
      <c r="T117" s="1913"/>
      <c r="U117" s="1913"/>
      <c r="V117" s="1913"/>
      <c r="W117" s="1913"/>
      <c r="X117" s="553"/>
    </row>
    <row r="118" spans="1:24" s="554" customFormat="1" ht="12">
      <c r="A118" s="553"/>
      <c r="B118" s="553" t="s">
        <v>3412</v>
      </c>
      <c r="C118" s="553"/>
      <c r="D118" s="553"/>
      <c r="E118" s="553"/>
      <c r="F118" s="553"/>
      <c r="G118" s="1912" t="str">
        <f>cst_wskakunin_kanri1__address</f>
        <v/>
      </c>
      <c r="H118" s="1912"/>
      <c r="I118" s="1912"/>
      <c r="J118" s="1912"/>
      <c r="K118" s="1912"/>
      <c r="L118" s="1912"/>
      <c r="M118" s="1912"/>
      <c r="N118" s="1912"/>
      <c r="O118" s="1912"/>
      <c r="P118" s="1912"/>
      <c r="Q118" s="1912"/>
      <c r="R118" s="1912"/>
      <c r="S118" s="1912"/>
      <c r="T118" s="1912"/>
      <c r="U118" s="1912"/>
      <c r="V118" s="1912"/>
      <c r="W118" s="1912"/>
      <c r="X118" s="558"/>
    </row>
    <row r="119" spans="1:24" s="554" customFormat="1" ht="12">
      <c r="A119" s="553"/>
      <c r="B119" s="553"/>
      <c r="C119" s="553"/>
      <c r="D119" s="553"/>
      <c r="E119" s="553"/>
      <c r="F119" s="553"/>
      <c r="G119" s="1912"/>
      <c r="H119" s="1912"/>
      <c r="I119" s="1912"/>
      <c r="J119" s="1912"/>
      <c r="K119" s="1912"/>
      <c r="L119" s="1912"/>
      <c r="M119" s="1912"/>
      <c r="N119" s="1912"/>
      <c r="O119" s="1912"/>
      <c r="P119" s="1912"/>
      <c r="Q119" s="1912"/>
      <c r="R119" s="1912"/>
      <c r="S119" s="1912"/>
      <c r="T119" s="1912"/>
      <c r="U119" s="1912"/>
      <c r="V119" s="1912"/>
      <c r="W119" s="1912"/>
      <c r="X119" s="558"/>
    </row>
    <row r="120" spans="1:24" s="554" customFormat="1" ht="12">
      <c r="A120" s="553"/>
      <c r="B120" s="553" t="s">
        <v>3413</v>
      </c>
      <c r="C120" s="553"/>
      <c r="D120" s="553"/>
      <c r="E120" s="553"/>
      <c r="F120" s="553"/>
      <c r="G120" s="1913" t="str">
        <f>cst_wskakunin_kanri1_TEL</f>
        <v/>
      </c>
      <c r="H120" s="1913"/>
      <c r="I120" s="1913"/>
      <c r="J120" s="1913"/>
      <c r="K120" s="1913"/>
      <c r="L120" s="1913"/>
      <c r="M120" s="1913"/>
      <c r="N120" s="1913"/>
      <c r="O120" s="1913"/>
      <c r="P120" s="1913"/>
      <c r="Q120" s="1913"/>
      <c r="R120" s="1913"/>
      <c r="S120" s="1913"/>
      <c r="T120" s="1913"/>
      <c r="U120" s="1913"/>
      <c r="V120" s="1913"/>
      <c r="W120" s="1913"/>
      <c r="X120" s="558"/>
    </row>
    <row r="121" spans="1:24" s="554" customFormat="1" ht="12">
      <c r="A121" s="553"/>
      <c r="B121" s="553" t="s">
        <v>3418</v>
      </c>
      <c r="C121" s="553"/>
      <c r="D121" s="553"/>
      <c r="E121" s="553"/>
      <c r="F121" s="553"/>
      <c r="G121" s="819"/>
      <c r="H121" s="819"/>
      <c r="I121" s="819"/>
      <c r="J121" s="1911" t="str">
        <f>cst_wskakunin_kanri1_DOC</f>
        <v/>
      </c>
      <c r="K121" s="1911"/>
      <c r="L121" s="1911"/>
      <c r="M121" s="1911"/>
      <c r="N121" s="1911"/>
      <c r="O121" s="1911"/>
      <c r="P121" s="1911"/>
      <c r="Q121" s="1911"/>
      <c r="R121" s="1911"/>
      <c r="S121" s="1911"/>
      <c r="T121" s="1911"/>
      <c r="U121" s="1911"/>
      <c r="V121" s="1911"/>
      <c r="W121" s="1911"/>
      <c r="X121" s="558"/>
    </row>
    <row r="122" spans="1:24" s="554" customFormat="1" ht="12">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row>
    <row r="123" spans="1:24" s="554" customFormat="1" ht="12">
      <c r="A123" s="822"/>
      <c r="B123" s="553" t="s">
        <v>1903</v>
      </c>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row>
    <row r="124" spans="1:24" s="554" customFormat="1" ht="12">
      <c r="A124" s="553"/>
      <c r="B124" s="553" t="s">
        <v>3409</v>
      </c>
      <c r="C124" s="553"/>
      <c r="D124" s="553"/>
      <c r="E124" s="553"/>
      <c r="F124" s="553"/>
      <c r="G124" s="1914" t="str">
        <f>cst_wskakunin_kanri2_SIKAKU</f>
        <v/>
      </c>
      <c r="H124" s="1914"/>
      <c r="I124" s="553" t="s">
        <v>552</v>
      </c>
      <c r="K124" s="1914" t="str">
        <f>cst_wskakunin_kanri2_TOUROKU_KIKAN</f>
        <v/>
      </c>
      <c r="L124" s="1914"/>
      <c r="M124" s="1914"/>
      <c r="N124" s="1914"/>
      <c r="O124" s="553" t="s">
        <v>558</v>
      </c>
      <c r="Q124" s="1915" t="str">
        <f>cst_wskakunin_kanri2_KENTIKUSI_NO</f>
        <v/>
      </c>
      <c r="R124" s="1915"/>
      <c r="S124" s="1915"/>
      <c r="T124" s="1915"/>
      <c r="U124" s="1915"/>
      <c r="V124" s="1915"/>
      <c r="W124" s="553" t="s">
        <v>375</v>
      </c>
      <c r="X124" s="553"/>
    </row>
    <row r="125" spans="1:24" s="554" customFormat="1" ht="12">
      <c r="A125" s="553"/>
      <c r="B125" s="553" t="s">
        <v>560</v>
      </c>
      <c r="C125" s="553"/>
      <c r="D125" s="553"/>
      <c r="E125" s="553"/>
      <c r="F125" s="553"/>
      <c r="G125" s="1913" t="str">
        <f>cst_wskakunin_kanri2_NAME</f>
        <v/>
      </c>
      <c r="H125" s="1913"/>
      <c r="I125" s="1913"/>
      <c r="J125" s="1913"/>
      <c r="K125" s="1913"/>
      <c r="L125" s="1913"/>
      <c r="M125" s="1913"/>
      <c r="N125" s="1913"/>
      <c r="O125" s="1913"/>
      <c r="P125" s="1913"/>
      <c r="Q125" s="1913"/>
      <c r="R125" s="1913"/>
      <c r="S125" s="1913"/>
      <c r="T125" s="1913"/>
      <c r="U125" s="1913"/>
      <c r="V125" s="1913"/>
      <c r="W125" s="1913"/>
      <c r="X125" s="558"/>
    </row>
    <row r="126" spans="1:24" s="554" customFormat="1" ht="12">
      <c r="A126" s="553"/>
      <c r="B126" s="553" t="s">
        <v>3410</v>
      </c>
      <c r="C126" s="553"/>
      <c r="D126" s="553"/>
      <c r="E126" s="553"/>
      <c r="F126" s="553"/>
      <c r="G126" s="1914" t="str">
        <f>cst_wskakunin_kanri2_JIMU_SIKAKU</f>
        <v/>
      </c>
      <c r="H126" s="1914"/>
      <c r="I126" s="1918" t="s">
        <v>553</v>
      </c>
      <c r="J126" s="1918"/>
      <c r="K126" s="1918"/>
      <c r="L126" s="1914" t="str">
        <f>cst_wskakunin_kanri2_JIMU_TOUROKU_KIKAN</f>
        <v/>
      </c>
      <c r="M126" s="1914"/>
      <c r="N126" s="1914"/>
      <c r="O126" s="553" t="s">
        <v>559</v>
      </c>
      <c r="Q126" s="553"/>
      <c r="R126" s="1915" t="str">
        <f>cst_wskakunin_kanri2_JIMU_NO</f>
        <v/>
      </c>
      <c r="S126" s="1915"/>
      <c r="T126" s="1915"/>
      <c r="U126" s="1915"/>
      <c r="V126" s="1915"/>
      <c r="W126" s="553" t="s">
        <v>375</v>
      </c>
      <c r="X126" s="558"/>
    </row>
    <row r="127" spans="1:24" s="554" customFormat="1" ht="12">
      <c r="A127" s="553"/>
      <c r="B127" s="553"/>
      <c r="C127" s="553"/>
      <c r="D127" s="553"/>
      <c r="E127" s="553"/>
      <c r="F127" s="553"/>
      <c r="G127" s="1913" t="str">
        <f>cst_wskakunin_kanri2_JIMU_NAME</f>
        <v/>
      </c>
      <c r="H127" s="1913"/>
      <c r="I127" s="1913"/>
      <c r="J127" s="1913"/>
      <c r="K127" s="1913"/>
      <c r="L127" s="1913"/>
      <c r="M127" s="1913"/>
      <c r="N127" s="1913"/>
      <c r="O127" s="1913"/>
      <c r="P127" s="1913"/>
      <c r="Q127" s="1913"/>
      <c r="R127" s="1913"/>
      <c r="S127" s="1913"/>
      <c r="T127" s="1913"/>
      <c r="U127" s="1913"/>
      <c r="V127" s="1913"/>
      <c r="W127" s="1913"/>
      <c r="X127" s="558"/>
    </row>
    <row r="128" spans="1:24" s="554" customFormat="1" ht="12">
      <c r="A128" s="553"/>
      <c r="B128" s="553" t="s">
        <v>3411</v>
      </c>
      <c r="C128" s="553"/>
      <c r="D128" s="553"/>
      <c r="E128" s="553"/>
      <c r="F128" s="553"/>
      <c r="G128" s="555" t="s">
        <v>2429</v>
      </c>
      <c r="H128" s="1917" t="str">
        <f>cst_wskakunin_kanri2_ZIP</f>
        <v/>
      </c>
      <c r="I128" s="1917"/>
      <c r="J128" s="1917"/>
      <c r="K128" s="1917"/>
      <c r="L128" s="1917"/>
      <c r="M128" s="1917"/>
      <c r="N128" s="1917"/>
      <c r="O128" s="1917"/>
      <c r="P128" s="1917"/>
      <c r="Q128" s="1917"/>
      <c r="R128" s="1917"/>
      <c r="S128" s="1917"/>
      <c r="T128" s="1917"/>
      <c r="U128" s="1917"/>
      <c r="V128" s="1917"/>
      <c r="W128" s="1917"/>
      <c r="X128" s="553"/>
    </row>
    <row r="129" spans="1:24" s="554" customFormat="1" ht="12">
      <c r="A129" s="553"/>
      <c r="B129" s="553" t="s">
        <v>3412</v>
      </c>
      <c r="C129" s="553"/>
      <c r="D129" s="553"/>
      <c r="E129" s="553"/>
      <c r="F129" s="553"/>
      <c r="G129" s="1912" t="str">
        <f>cst_wskakunin_owner2_NAME_KANA</f>
        <v/>
      </c>
      <c r="H129" s="1912"/>
      <c r="I129" s="1912"/>
      <c r="J129" s="1912"/>
      <c r="K129" s="1912"/>
      <c r="L129" s="1912"/>
      <c r="M129" s="1912"/>
      <c r="N129" s="1912"/>
      <c r="O129" s="1912"/>
      <c r="P129" s="1912"/>
      <c r="Q129" s="1912"/>
      <c r="R129" s="1912"/>
      <c r="S129" s="1912"/>
      <c r="T129" s="1912"/>
      <c r="U129" s="1912"/>
      <c r="V129" s="1912"/>
      <c r="W129" s="1912"/>
      <c r="X129" s="558"/>
    </row>
    <row r="130" spans="1:24" s="554" customFormat="1" ht="12">
      <c r="A130" s="553"/>
      <c r="B130" s="553"/>
      <c r="C130" s="553"/>
      <c r="D130" s="553"/>
      <c r="E130" s="553"/>
      <c r="F130" s="553"/>
      <c r="G130" s="1912"/>
      <c r="H130" s="1912"/>
      <c r="I130" s="1912"/>
      <c r="J130" s="1912"/>
      <c r="K130" s="1912"/>
      <c r="L130" s="1912"/>
      <c r="M130" s="1912"/>
      <c r="N130" s="1912"/>
      <c r="O130" s="1912"/>
      <c r="P130" s="1912"/>
      <c r="Q130" s="1912"/>
      <c r="R130" s="1912"/>
      <c r="S130" s="1912"/>
      <c r="T130" s="1912"/>
      <c r="U130" s="1912"/>
      <c r="V130" s="1912"/>
      <c r="W130" s="1912"/>
      <c r="X130" s="558"/>
    </row>
    <row r="131" spans="1:24" s="554" customFormat="1" ht="12">
      <c r="A131" s="553"/>
      <c r="B131" s="553" t="s">
        <v>3413</v>
      </c>
      <c r="C131" s="553"/>
      <c r="D131" s="553"/>
      <c r="E131" s="553"/>
      <c r="F131" s="553"/>
      <c r="G131" s="1913" t="str">
        <f>cst_wskakunin_kanri2_TEL</f>
        <v/>
      </c>
      <c r="H131" s="1913"/>
      <c r="I131" s="1913"/>
      <c r="J131" s="1913"/>
      <c r="K131" s="1913"/>
      <c r="L131" s="1913"/>
      <c r="M131" s="1913"/>
      <c r="N131" s="1913"/>
      <c r="O131" s="1913"/>
      <c r="P131" s="1913"/>
      <c r="Q131" s="1913"/>
      <c r="R131" s="1913"/>
      <c r="S131" s="1913"/>
      <c r="T131" s="1913"/>
      <c r="U131" s="1913"/>
      <c r="V131" s="1913"/>
      <c r="W131" s="1913"/>
      <c r="X131" s="558"/>
    </row>
    <row r="132" spans="1:24" s="554" customFormat="1" ht="12">
      <c r="A132" s="553"/>
      <c r="B132" s="553" t="s">
        <v>3418</v>
      </c>
      <c r="C132" s="553"/>
      <c r="D132" s="553"/>
      <c r="E132" s="553"/>
      <c r="F132" s="553"/>
      <c r="G132" s="553"/>
      <c r="H132" s="553"/>
      <c r="I132" s="553"/>
      <c r="J132" s="1913" t="str">
        <f>cst_wskakunin_kanri2_DOC</f>
        <v/>
      </c>
      <c r="K132" s="1913"/>
      <c r="L132" s="1913"/>
      <c r="M132" s="1913"/>
      <c r="N132" s="1913"/>
      <c r="O132" s="1913"/>
      <c r="P132" s="1913"/>
      <c r="Q132" s="1913"/>
      <c r="R132" s="1913"/>
      <c r="S132" s="1913"/>
      <c r="T132" s="1913"/>
      <c r="U132" s="1913"/>
      <c r="V132" s="1913"/>
      <c r="W132" s="1913"/>
      <c r="X132" s="558"/>
    </row>
    <row r="133" spans="1:24" s="554" customFormat="1" ht="12">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row>
    <row r="134" spans="1:24" s="554" customFormat="1" ht="12">
      <c r="A134" s="553"/>
      <c r="B134" s="553" t="s">
        <v>3409</v>
      </c>
      <c r="C134" s="553"/>
      <c r="D134" s="553"/>
      <c r="E134" s="553"/>
      <c r="F134" s="553"/>
      <c r="G134" s="1914" t="str">
        <f>cst_wskakunin_kanri3_SIKAKU</f>
        <v/>
      </c>
      <c r="H134" s="1914"/>
      <c r="I134" s="819" t="s">
        <v>552</v>
      </c>
      <c r="J134" s="820"/>
      <c r="K134" s="1914" t="str">
        <f>cst_wskakunin_kanri3_TOUROKU_KIKAN</f>
        <v/>
      </c>
      <c r="L134" s="1914"/>
      <c r="M134" s="1914"/>
      <c r="N134" s="1914"/>
      <c r="O134" s="819" t="s">
        <v>558</v>
      </c>
      <c r="P134" s="820"/>
      <c r="Q134" s="1915" t="str">
        <f>cst_wskakunin_kanri3_KENTIKUSI_NO</f>
        <v/>
      </c>
      <c r="R134" s="1915"/>
      <c r="S134" s="1915"/>
      <c r="T134" s="1915"/>
      <c r="U134" s="1915"/>
      <c r="V134" s="1915"/>
      <c r="W134" s="819" t="s">
        <v>375</v>
      </c>
      <c r="X134" s="553"/>
    </row>
    <row r="135" spans="1:24" s="554" customFormat="1" ht="12">
      <c r="A135" s="553"/>
      <c r="B135" s="553" t="s">
        <v>560</v>
      </c>
      <c r="C135" s="553"/>
      <c r="D135" s="553"/>
      <c r="E135" s="553"/>
      <c r="F135" s="553"/>
      <c r="G135" s="1913" t="str">
        <f>cst_wskakunin_kanri3_NAME</f>
        <v/>
      </c>
      <c r="H135" s="1913"/>
      <c r="I135" s="1913"/>
      <c r="J135" s="1913"/>
      <c r="K135" s="1913"/>
      <c r="L135" s="1913"/>
      <c r="M135" s="1913"/>
      <c r="N135" s="1913"/>
      <c r="O135" s="1913"/>
      <c r="P135" s="1913"/>
      <c r="Q135" s="1913"/>
      <c r="R135" s="1913"/>
      <c r="S135" s="1913"/>
      <c r="T135" s="1913"/>
      <c r="U135" s="1913"/>
      <c r="V135" s="1913"/>
      <c r="W135" s="1913"/>
      <c r="X135" s="558"/>
    </row>
    <row r="136" spans="1:24" s="554" customFormat="1" ht="12">
      <c r="A136" s="553"/>
      <c r="B136" s="553" t="s">
        <v>3410</v>
      </c>
      <c r="C136" s="553"/>
      <c r="D136" s="553"/>
      <c r="E136" s="553"/>
      <c r="F136" s="553"/>
      <c r="G136" s="1914" t="str">
        <f>cst_wskakunin_kanri3_JIMU_SIKAKU</f>
        <v/>
      </c>
      <c r="H136" s="1914"/>
      <c r="I136" s="1916" t="s">
        <v>553</v>
      </c>
      <c r="J136" s="1916"/>
      <c r="K136" s="1916"/>
      <c r="L136" s="1914" t="str">
        <f>cst_wskakunin_kanri3_JIMU_TOUROKU_KIKAN</f>
        <v/>
      </c>
      <c r="M136" s="1914"/>
      <c r="N136" s="1914"/>
      <c r="O136" s="819" t="s">
        <v>559</v>
      </c>
      <c r="P136" s="820"/>
      <c r="Q136" s="819"/>
      <c r="R136" s="1915" t="str">
        <f>cst_wskakunin_kanri3_JIMU_NO</f>
        <v/>
      </c>
      <c r="S136" s="1915"/>
      <c r="T136" s="1915"/>
      <c r="U136" s="1915"/>
      <c r="V136" s="1915"/>
      <c r="W136" s="819" t="s">
        <v>375</v>
      </c>
      <c r="X136" s="558"/>
    </row>
    <row r="137" spans="1:24" s="554" customFormat="1" ht="12">
      <c r="A137" s="553"/>
      <c r="B137" s="553"/>
      <c r="C137" s="553"/>
      <c r="D137" s="553"/>
      <c r="E137" s="553"/>
      <c r="F137" s="553"/>
      <c r="G137" s="1913" t="str">
        <f>cst_wskakunin_kanri3_JIMU_NAME</f>
        <v/>
      </c>
      <c r="H137" s="1913"/>
      <c r="I137" s="1913"/>
      <c r="J137" s="1913"/>
      <c r="K137" s="1913"/>
      <c r="L137" s="1913"/>
      <c r="M137" s="1913"/>
      <c r="N137" s="1913"/>
      <c r="O137" s="1913"/>
      <c r="P137" s="1913"/>
      <c r="Q137" s="1913"/>
      <c r="R137" s="1913"/>
      <c r="S137" s="1913"/>
      <c r="T137" s="1913"/>
      <c r="U137" s="1913"/>
      <c r="V137" s="1913"/>
      <c r="W137" s="1913"/>
      <c r="X137" s="558"/>
    </row>
    <row r="138" spans="1:24" s="554" customFormat="1" ht="12">
      <c r="A138" s="553"/>
      <c r="B138" s="553" t="s">
        <v>3411</v>
      </c>
      <c r="C138" s="553"/>
      <c r="D138" s="553"/>
      <c r="E138" s="553"/>
      <c r="F138" s="553"/>
      <c r="G138" s="559" t="s">
        <v>2429</v>
      </c>
      <c r="H138" s="1913" t="str">
        <f>cst_wskakunin_kanri3_ZIP</f>
        <v/>
      </c>
      <c r="I138" s="1913"/>
      <c r="J138" s="1913"/>
      <c r="K138" s="1913"/>
      <c r="L138" s="1913"/>
      <c r="M138" s="1913"/>
      <c r="N138" s="1913"/>
      <c r="O138" s="1913"/>
      <c r="P138" s="1913"/>
      <c r="Q138" s="1913"/>
      <c r="R138" s="1913"/>
      <c r="S138" s="1913"/>
      <c r="T138" s="1913"/>
      <c r="U138" s="1913"/>
      <c r="V138" s="1913"/>
      <c r="W138" s="1913"/>
      <c r="X138" s="553"/>
    </row>
    <row r="139" spans="1:24" s="554" customFormat="1" ht="12">
      <c r="A139" s="553"/>
      <c r="B139" s="553" t="s">
        <v>3412</v>
      </c>
      <c r="C139" s="553"/>
      <c r="D139" s="553"/>
      <c r="E139" s="553"/>
      <c r="F139" s="553"/>
      <c r="G139" s="1912" t="str">
        <f>cst_wskakunin_kanri3__address</f>
        <v/>
      </c>
      <c r="H139" s="1912"/>
      <c r="I139" s="1912"/>
      <c r="J139" s="1912"/>
      <c r="K139" s="1912"/>
      <c r="L139" s="1912"/>
      <c r="M139" s="1912"/>
      <c r="N139" s="1912"/>
      <c r="O139" s="1912"/>
      <c r="P139" s="1912"/>
      <c r="Q139" s="1912"/>
      <c r="R139" s="1912"/>
      <c r="S139" s="1912"/>
      <c r="T139" s="1912"/>
      <c r="U139" s="1912"/>
      <c r="V139" s="1912"/>
      <c r="W139" s="1912"/>
      <c r="X139" s="558"/>
    </row>
    <row r="140" spans="1:24" s="554" customFormat="1" ht="12">
      <c r="A140" s="553"/>
      <c r="B140" s="553"/>
      <c r="C140" s="553"/>
      <c r="D140" s="553"/>
      <c r="E140" s="553"/>
      <c r="F140" s="553"/>
      <c r="G140" s="1912"/>
      <c r="H140" s="1912"/>
      <c r="I140" s="1912"/>
      <c r="J140" s="1912"/>
      <c r="K140" s="1912"/>
      <c r="L140" s="1912"/>
      <c r="M140" s="1912"/>
      <c r="N140" s="1912"/>
      <c r="O140" s="1912"/>
      <c r="P140" s="1912"/>
      <c r="Q140" s="1912"/>
      <c r="R140" s="1912"/>
      <c r="S140" s="1912"/>
      <c r="T140" s="1912"/>
      <c r="U140" s="1912"/>
      <c r="V140" s="1912"/>
      <c r="W140" s="1912"/>
      <c r="X140" s="558"/>
    </row>
    <row r="141" spans="1:24" s="554" customFormat="1" ht="12">
      <c r="A141" s="553"/>
      <c r="B141" s="553" t="s">
        <v>3413</v>
      </c>
      <c r="C141" s="553"/>
      <c r="D141" s="553"/>
      <c r="E141" s="553"/>
      <c r="F141" s="553"/>
      <c r="G141" s="1913" t="str">
        <f>cst_wskakunin_kanri3_TEL</f>
        <v/>
      </c>
      <c r="H141" s="1913"/>
      <c r="I141" s="1913"/>
      <c r="J141" s="1913"/>
      <c r="K141" s="1913"/>
      <c r="L141" s="1913"/>
      <c r="M141" s="1913"/>
      <c r="N141" s="1913"/>
      <c r="O141" s="1913"/>
      <c r="P141" s="1913"/>
      <c r="Q141" s="1913"/>
      <c r="R141" s="1913"/>
      <c r="S141" s="1913"/>
      <c r="T141" s="1913"/>
      <c r="U141" s="1913"/>
      <c r="V141" s="1913"/>
      <c r="W141" s="1913"/>
      <c r="X141" s="558"/>
    </row>
    <row r="142" spans="1:24" s="554" customFormat="1" ht="12">
      <c r="A142" s="553"/>
      <c r="B142" s="553" t="s">
        <v>3418</v>
      </c>
      <c r="C142" s="553"/>
      <c r="D142" s="553"/>
      <c r="E142" s="553"/>
      <c r="F142" s="553"/>
      <c r="G142" s="819"/>
      <c r="H142" s="819"/>
      <c r="I142" s="819"/>
      <c r="J142" s="1911" t="str">
        <f>cst_wskakunin_kanri3_DOC</f>
        <v/>
      </c>
      <c r="K142" s="1911"/>
      <c r="L142" s="1911"/>
      <c r="M142" s="1911"/>
      <c r="N142" s="1911"/>
      <c r="O142" s="1911"/>
      <c r="P142" s="1911"/>
      <c r="Q142" s="1911"/>
      <c r="R142" s="1911"/>
      <c r="S142" s="1911"/>
      <c r="T142" s="1911"/>
      <c r="U142" s="1911"/>
      <c r="V142" s="1911"/>
      <c r="W142" s="1911"/>
      <c r="X142" s="558"/>
    </row>
    <row r="143" spans="1:24" s="554" customFormat="1" ht="12">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row>
    <row r="144" spans="1:24" s="554" customFormat="1" ht="12">
      <c r="A144" s="553"/>
      <c r="B144" s="553" t="s">
        <v>3409</v>
      </c>
      <c r="C144" s="553"/>
      <c r="D144" s="553"/>
      <c r="E144" s="553"/>
      <c r="F144" s="553"/>
      <c r="G144" s="1914" t="str">
        <f>cst_wskakunin_kanri4_SIKAKU</f>
        <v/>
      </c>
      <c r="H144" s="1914"/>
      <c r="I144" s="819" t="s">
        <v>552</v>
      </c>
      <c r="J144" s="820"/>
      <c r="K144" s="1914" t="str">
        <f>cst_wskakunin_kanri4_TOUROKU_KIKAN</f>
        <v/>
      </c>
      <c r="L144" s="1914"/>
      <c r="M144" s="1914"/>
      <c r="N144" s="1914"/>
      <c r="O144" s="819" t="s">
        <v>558</v>
      </c>
      <c r="P144" s="820"/>
      <c r="Q144" s="1915" t="str">
        <f>cst_wskakunin_kanri4_KENTIKUSI_NO</f>
        <v/>
      </c>
      <c r="R144" s="1915"/>
      <c r="S144" s="1915"/>
      <c r="T144" s="1915"/>
      <c r="U144" s="1915"/>
      <c r="V144" s="1915"/>
      <c r="W144" s="819" t="s">
        <v>375</v>
      </c>
      <c r="X144" s="553"/>
    </row>
    <row r="145" spans="1:50" s="554" customFormat="1" ht="12">
      <c r="A145" s="553"/>
      <c r="B145" s="553" t="s">
        <v>560</v>
      </c>
      <c r="C145" s="553"/>
      <c r="D145" s="553"/>
      <c r="E145" s="553"/>
      <c r="F145" s="553"/>
      <c r="G145" s="1913" t="str">
        <f>cst_wskakunin_kanri4_NAME</f>
        <v/>
      </c>
      <c r="H145" s="1913"/>
      <c r="I145" s="1913"/>
      <c r="J145" s="1913"/>
      <c r="K145" s="1913"/>
      <c r="L145" s="1913"/>
      <c r="M145" s="1913"/>
      <c r="N145" s="1913"/>
      <c r="O145" s="1913"/>
      <c r="P145" s="1913"/>
      <c r="Q145" s="1913"/>
      <c r="R145" s="1913"/>
      <c r="S145" s="1913"/>
      <c r="T145" s="1913"/>
      <c r="U145" s="1913"/>
      <c r="V145" s="1913"/>
      <c r="W145" s="1913"/>
      <c r="X145" s="558"/>
    </row>
    <row r="146" spans="1:50" s="554" customFormat="1" ht="12">
      <c r="A146" s="553"/>
      <c r="B146" s="553" t="s">
        <v>3410</v>
      </c>
      <c r="C146" s="553"/>
      <c r="D146" s="553"/>
      <c r="E146" s="553"/>
      <c r="F146" s="553"/>
      <c r="G146" s="1914" t="str">
        <f>cst_wskakunin_kanri4_JIMU_SIKAKU</f>
        <v/>
      </c>
      <c r="H146" s="1914"/>
      <c r="I146" s="1916" t="s">
        <v>553</v>
      </c>
      <c r="J146" s="1916"/>
      <c r="K146" s="1916"/>
      <c r="L146" s="1914" t="str">
        <f>cst_wskakunin_kanri4_JIMU_TOUROKU_KIKAN</f>
        <v/>
      </c>
      <c r="M146" s="1914"/>
      <c r="N146" s="1914"/>
      <c r="O146" s="819" t="s">
        <v>559</v>
      </c>
      <c r="P146" s="820"/>
      <c r="Q146" s="819"/>
      <c r="R146" s="1915" t="str">
        <f>cst_wskakunin_kanri4_JIMU_NO</f>
        <v/>
      </c>
      <c r="S146" s="1915"/>
      <c r="T146" s="1915"/>
      <c r="U146" s="1915"/>
      <c r="V146" s="1915"/>
      <c r="W146" s="819" t="s">
        <v>375</v>
      </c>
      <c r="X146" s="558"/>
    </row>
    <row r="147" spans="1:50" s="554" customFormat="1" ht="12">
      <c r="A147" s="553"/>
      <c r="B147" s="553"/>
      <c r="C147" s="553"/>
      <c r="D147" s="553"/>
      <c r="E147" s="553"/>
      <c r="F147" s="553"/>
      <c r="G147" s="1913" t="str">
        <f>cst_wskakunin_kanri4_JIMU_NAME</f>
        <v/>
      </c>
      <c r="H147" s="1913"/>
      <c r="I147" s="1913"/>
      <c r="J147" s="1913"/>
      <c r="K147" s="1913"/>
      <c r="L147" s="1913"/>
      <c r="M147" s="1913"/>
      <c r="N147" s="1913"/>
      <c r="O147" s="1913"/>
      <c r="P147" s="1913"/>
      <c r="Q147" s="1913"/>
      <c r="R147" s="1913"/>
      <c r="S147" s="1913"/>
      <c r="T147" s="1913"/>
      <c r="U147" s="1913"/>
      <c r="V147" s="1913"/>
      <c r="W147" s="1913"/>
      <c r="X147" s="558"/>
    </row>
    <row r="148" spans="1:50" s="554" customFormat="1" ht="12">
      <c r="A148" s="553"/>
      <c r="B148" s="553" t="s">
        <v>3411</v>
      </c>
      <c r="C148" s="553"/>
      <c r="D148" s="553"/>
      <c r="E148" s="553"/>
      <c r="F148" s="553"/>
      <c r="G148" s="559" t="s">
        <v>2429</v>
      </c>
      <c r="H148" s="1913" t="str">
        <f>cst_wskakunin_kanri4_ZIP</f>
        <v/>
      </c>
      <c r="I148" s="1913"/>
      <c r="J148" s="1913"/>
      <c r="K148" s="1913"/>
      <c r="L148" s="1913"/>
      <c r="M148" s="1913"/>
      <c r="N148" s="1913"/>
      <c r="O148" s="1913"/>
      <c r="P148" s="1913"/>
      <c r="Q148" s="1913"/>
      <c r="R148" s="1913"/>
      <c r="S148" s="1913"/>
      <c r="T148" s="1913"/>
      <c r="U148" s="1913"/>
      <c r="V148" s="1913"/>
      <c r="W148" s="1913"/>
      <c r="X148" s="553"/>
    </row>
    <row r="149" spans="1:50" s="554" customFormat="1" ht="12">
      <c r="A149" s="553"/>
      <c r="B149" s="553" t="s">
        <v>3412</v>
      </c>
      <c r="C149" s="553"/>
      <c r="D149" s="553"/>
      <c r="E149" s="553"/>
      <c r="F149" s="553"/>
      <c r="G149" s="1912" t="str">
        <f>cst_wskakunin_kanri4__address</f>
        <v/>
      </c>
      <c r="H149" s="1912"/>
      <c r="I149" s="1912"/>
      <c r="J149" s="1912"/>
      <c r="K149" s="1912"/>
      <c r="L149" s="1912"/>
      <c r="M149" s="1912"/>
      <c r="N149" s="1912"/>
      <c r="O149" s="1912"/>
      <c r="P149" s="1912"/>
      <c r="Q149" s="1912"/>
      <c r="R149" s="1912"/>
      <c r="S149" s="1912"/>
      <c r="T149" s="1912"/>
      <c r="U149" s="1912"/>
      <c r="V149" s="1912"/>
      <c r="W149" s="1912"/>
      <c r="X149" s="558"/>
    </row>
    <row r="150" spans="1:50" s="554" customFormat="1" ht="12">
      <c r="A150" s="553"/>
      <c r="B150" s="553"/>
      <c r="C150" s="553"/>
      <c r="D150" s="553"/>
      <c r="E150" s="553"/>
      <c r="F150" s="553"/>
      <c r="G150" s="1912"/>
      <c r="H150" s="1912"/>
      <c r="I150" s="1912"/>
      <c r="J150" s="1912"/>
      <c r="K150" s="1912"/>
      <c r="L150" s="1912"/>
      <c r="M150" s="1912"/>
      <c r="N150" s="1912"/>
      <c r="O150" s="1912"/>
      <c r="P150" s="1912"/>
      <c r="Q150" s="1912"/>
      <c r="R150" s="1912"/>
      <c r="S150" s="1912"/>
      <c r="T150" s="1912"/>
      <c r="U150" s="1912"/>
      <c r="V150" s="1912"/>
      <c r="W150" s="1912"/>
      <c r="X150" s="558"/>
    </row>
    <row r="151" spans="1:50" s="554" customFormat="1" ht="12">
      <c r="A151" s="553"/>
      <c r="B151" s="553" t="s">
        <v>3413</v>
      </c>
      <c r="C151" s="553"/>
      <c r="D151" s="553"/>
      <c r="E151" s="553"/>
      <c r="F151" s="553"/>
      <c r="G151" s="1913" t="str">
        <f>cst_wskakunin_kanri4_TEL</f>
        <v/>
      </c>
      <c r="H151" s="1913"/>
      <c r="I151" s="1913"/>
      <c r="J151" s="1913"/>
      <c r="K151" s="1913"/>
      <c r="L151" s="1913"/>
      <c r="M151" s="1913"/>
      <c r="N151" s="1913"/>
      <c r="O151" s="1913"/>
      <c r="P151" s="1913"/>
      <c r="Q151" s="1913"/>
      <c r="R151" s="1913"/>
      <c r="S151" s="1913"/>
      <c r="T151" s="1913"/>
      <c r="U151" s="1913"/>
      <c r="V151" s="1913"/>
      <c r="W151" s="1913"/>
      <c r="X151" s="558"/>
    </row>
    <row r="152" spans="1:50" s="554" customFormat="1" ht="12">
      <c r="A152" s="553"/>
      <c r="B152" s="553" t="s">
        <v>3418</v>
      </c>
      <c r="C152" s="553"/>
      <c r="D152" s="553"/>
      <c r="E152" s="553"/>
      <c r="F152" s="553"/>
      <c r="G152" s="819"/>
      <c r="H152" s="819"/>
      <c r="I152" s="819"/>
      <c r="J152" s="1911" t="str">
        <f>cst_wskakunin_kanri4_DOC</f>
        <v/>
      </c>
      <c r="K152" s="1911"/>
      <c r="L152" s="1911"/>
      <c r="M152" s="1911"/>
      <c r="N152" s="1911"/>
      <c r="O152" s="1911"/>
      <c r="P152" s="1911"/>
      <c r="Q152" s="1911"/>
      <c r="R152" s="1911"/>
      <c r="S152" s="1911"/>
      <c r="T152" s="1911"/>
      <c r="U152" s="1911"/>
      <c r="V152" s="1911"/>
      <c r="W152" s="1911"/>
      <c r="X152" s="558"/>
    </row>
    <row r="153" spans="1:50" s="554" customFormat="1" ht="12">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8"/>
    </row>
    <row r="154" spans="1:50" s="554" customFormat="1" ht="12">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8"/>
    </row>
    <row r="155" spans="1:50" s="554" customFormat="1" ht="13.5">
      <c r="A155" s="818" t="s">
        <v>3419</v>
      </c>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AC155" s="821"/>
      <c r="AD155" s="821"/>
      <c r="AE155" s="821"/>
      <c r="AF155" s="821"/>
      <c r="AG155" s="821"/>
      <c r="AH155" s="793" t="s">
        <v>3093</v>
      </c>
      <c r="AI155" s="793"/>
      <c r="AJ155" s="733"/>
      <c r="AK155" s="792"/>
      <c r="AL155" s="792"/>
      <c r="AM155" s="792"/>
      <c r="AN155" s="792"/>
      <c r="AO155" s="792"/>
      <c r="AP155" s="821"/>
      <c r="AQ155" s="821"/>
      <c r="AR155" s="821"/>
      <c r="AS155" s="821"/>
      <c r="AT155" s="821"/>
      <c r="AU155" s="821"/>
      <c r="AV155" s="821"/>
      <c r="AW155" s="821"/>
      <c r="AX155" s="821"/>
    </row>
    <row r="156" spans="1:50" s="554" customFormat="1" ht="12">
      <c r="A156" s="822"/>
      <c r="B156" s="553" t="s">
        <v>3420</v>
      </c>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AC156" s="821"/>
      <c r="AD156" s="821"/>
      <c r="AE156" s="821"/>
      <c r="AF156" s="821"/>
      <c r="AG156" s="821"/>
      <c r="AH156" s="794" t="s">
        <v>2845</v>
      </c>
      <c r="AI156" s="793"/>
      <c r="AJ156" s="795"/>
      <c r="AK156" s="792"/>
      <c r="AL156" s="792"/>
      <c r="AM156" s="792"/>
      <c r="AN156" s="792"/>
      <c r="AO156" s="792"/>
      <c r="AP156" s="821"/>
      <c r="AQ156" s="821"/>
      <c r="AR156" s="821"/>
      <c r="AS156" s="821"/>
      <c r="AT156" s="821"/>
      <c r="AU156" s="821"/>
      <c r="AV156" s="821"/>
      <c r="AW156" s="821"/>
      <c r="AX156" s="821"/>
    </row>
    <row r="157" spans="1:50" s="554" customFormat="1" ht="13.5">
      <c r="A157" s="553"/>
      <c r="B157" s="553" t="s">
        <v>3409</v>
      </c>
      <c r="C157" s="553"/>
      <c r="D157" s="553"/>
      <c r="E157" s="553"/>
      <c r="F157" s="553"/>
      <c r="G157" s="1919"/>
      <c r="H157" s="1919"/>
      <c r="I157" s="819" t="s">
        <v>552</v>
      </c>
      <c r="J157" s="820"/>
      <c r="K157" s="1919"/>
      <c r="L157" s="1919"/>
      <c r="M157" s="1919"/>
      <c r="N157" s="1919"/>
      <c r="O157" s="819" t="s">
        <v>558</v>
      </c>
      <c r="P157" s="820"/>
      <c r="Q157" s="1920"/>
      <c r="R157" s="1920"/>
      <c r="S157" s="1920"/>
      <c r="T157" s="1920"/>
      <c r="U157" s="1920"/>
      <c r="V157" s="1920"/>
      <c r="W157" s="819" t="s">
        <v>375</v>
      </c>
      <c r="X157" s="553"/>
      <c r="AH157" s="796" t="str">
        <f>HYPERLINK("#A1：X46")</f>
        <v>#A1：X46</v>
      </c>
      <c r="AI157" s="797" t="s">
        <v>2723</v>
      </c>
      <c r="AJ157" s="798"/>
      <c r="AK157" s="799"/>
      <c r="AL157" s="799"/>
      <c r="AM157" s="799"/>
      <c r="AN157" s="799"/>
      <c r="AO157" s="799"/>
    </row>
    <row r="158" spans="1:50" s="554" customFormat="1" ht="13.5">
      <c r="A158" s="553"/>
      <c r="B158" s="553" t="s">
        <v>598</v>
      </c>
      <c r="C158" s="553"/>
      <c r="D158" s="553"/>
      <c r="E158" s="553"/>
      <c r="F158" s="553"/>
      <c r="G158" s="1921"/>
      <c r="H158" s="1921"/>
      <c r="I158" s="1921"/>
      <c r="J158" s="1921"/>
      <c r="K158" s="1921"/>
      <c r="L158" s="1921"/>
      <c r="M158" s="1921"/>
      <c r="N158" s="1921"/>
      <c r="O158" s="1921"/>
      <c r="P158" s="1921"/>
      <c r="Q158" s="1921"/>
      <c r="R158" s="1921"/>
      <c r="S158" s="1921"/>
      <c r="T158" s="1921"/>
      <c r="U158" s="1921"/>
      <c r="V158" s="1921"/>
      <c r="W158" s="1921"/>
      <c r="X158" s="558"/>
      <c r="AH158" s="796" t="str">
        <f>HYPERLINK("#A47：X100")</f>
        <v>#A47：X100</v>
      </c>
      <c r="AI158" s="800" t="s">
        <v>2726</v>
      </c>
      <c r="AJ158" s="560"/>
      <c r="AK158" s="561"/>
      <c r="AL158" s="561"/>
      <c r="AM158" s="561"/>
      <c r="AN158" s="561"/>
      <c r="AO158" s="801"/>
    </row>
    <row r="159" spans="1:50" s="554" customFormat="1" ht="13.5">
      <c r="A159" s="553"/>
      <c r="B159" s="553" t="s">
        <v>551</v>
      </c>
      <c r="C159" s="553"/>
      <c r="D159" s="553"/>
      <c r="E159" s="553"/>
      <c r="F159" s="553"/>
      <c r="G159" s="559" t="s">
        <v>2429</v>
      </c>
      <c r="H159" s="1922"/>
      <c r="I159" s="1922"/>
      <c r="J159" s="1922"/>
      <c r="K159" s="1922"/>
      <c r="L159" s="1922"/>
      <c r="M159" s="1922"/>
      <c r="N159" s="1922"/>
      <c r="O159" s="1922"/>
      <c r="P159" s="1922"/>
      <c r="Q159" s="1922"/>
      <c r="R159" s="1922"/>
      <c r="S159" s="1922"/>
      <c r="T159" s="1922"/>
      <c r="U159" s="1922"/>
      <c r="V159" s="1922"/>
      <c r="W159" s="1922"/>
      <c r="X159" s="553"/>
      <c r="AH159" s="796" t="str">
        <f>HYPERLINK("#A101：X154")</f>
        <v>#A101：X154</v>
      </c>
      <c r="AI159" s="800" t="s">
        <v>3094</v>
      </c>
      <c r="AJ159" s="562"/>
      <c r="AK159" s="561"/>
      <c r="AL159" s="561"/>
      <c r="AM159" s="561"/>
      <c r="AN159" s="561"/>
      <c r="AO159" s="801"/>
    </row>
    <row r="160" spans="1:50" s="554" customFormat="1" ht="13.5">
      <c r="A160" s="553"/>
      <c r="B160" s="553" t="s">
        <v>599</v>
      </c>
      <c r="C160" s="553"/>
      <c r="D160" s="553"/>
      <c r="E160" s="553"/>
      <c r="F160" s="553"/>
      <c r="G160" s="1923"/>
      <c r="H160" s="1923"/>
      <c r="I160" s="1923"/>
      <c r="J160" s="1923"/>
      <c r="K160" s="1923"/>
      <c r="L160" s="1923"/>
      <c r="M160" s="1923"/>
      <c r="N160" s="1923"/>
      <c r="O160" s="1923"/>
      <c r="P160" s="1923"/>
      <c r="Q160" s="1923"/>
      <c r="R160" s="1923"/>
      <c r="S160" s="1923"/>
      <c r="T160" s="1923"/>
      <c r="U160" s="1923"/>
      <c r="V160" s="1923"/>
      <c r="W160" s="1923"/>
      <c r="X160" s="558"/>
      <c r="AH160" s="796" t="str">
        <f>HYPERLINK("#A155：X208")</f>
        <v>#A155：X208</v>
      </c>
      <c r="AI160" s="800" t="s">
        <v>3385</v>
      </c>
      <c r="AJ160" s="562"/>
      <c r="AK160" s="561"/>
      <c r="AL160" s="561"/>
      <c r="AM160" s="561"/>
      <c r="AN160" s="561"/>
      <c r="AO160" s="801"/>
    </row>
    <row r="161" spans="1:50" s="554" customFormat="1" ht="13.5">
      <c r="A161" s="553"/>
      <c r="B161" s="553" t="s">
        <v>555</v>
      </c>
      <c r="C161" s="553"/>
      <c r="D161" s="553"/>
      <c r="E161" s="553"/>
      <c r="F161" s="553"/>
      <c r="G161" s="1922"/>
      <c r="H161" s="1922"/>
      <c r="I161" s="1922"/>
      <c r="J161" s="1922"/>
      <c r="K161" s="1922"/>
      <c r="L161" s="1922"/>
      <c r="M161" s="1922"/>
      <c r="N161" s="1922"/>
      <c r="O161" s="1922"/>
      <c r="P161" s="1922"/>
      <c r="Q161" s="1922"/>
      <c r="R161" s="1922"/>
      <c r="S161" s="1922"/>
      <c r="T161" s="1922"/>
      <c r="U161" s="1922"/>
      <c r="V161" s="1922"/>
      <c r="W161" s="1922"/>
      <c r="X161" s="558"/>
      <c r="AH161" s="796" t="str">
        <f>HYPERLINK("#A209：X262")</f>
        <v>#A209：X262</v>
      </c>
      <c r="AI161" s="800" t="s">
        <v>3098</v>
      </c>
      <c r="AJ161" s="560"/>
      <c r="AK161" s="561"/>
      <c r="AL161" s="561"/>
      <c r="AM161" s="561"/>
      <c r="AN161" s="561"/>
      <c r="AO161" s="801"/>
    </row>
    <row r="162" spans="1:50" s="554" customFormat="1" ht="13.5">
      <c r="A162" s="553"/>
      <c r="B162" s="553" t="s">
        <v>556</v>
      </c>
      <c r="C162" s="553"/>
      <c r="D162" s="553"/>
      <c r="E162" s="553"/>
      <c r="F162" s="553"/>
      <c r="G162" s="1922"/>
      <c r="H162" s="1922"/>
      <c r="I162" s="1922"/>
      <c r="J162" s="1922"/>
      <c r="K162" s="1922"/>
      <c r="L162" s="1922"/>
      <c r="M162" s="1922"/>
      <c r="N162" s="1922"/>
      <c r="O162" s="1922"/>
      <c r="P162" s="1922"/>
      <c r="Q162" s="1922"/>
      <c r="R162" s="1922"/>
      <c r="S162" s="1922"/>
      <c r="T162" s="1922"/>
      <c r="U162" s="1922"/>
      <c r="V162" s="1922"/>
      <c r="W162" s="1922"/>
      <c r="X162" s="558"/>
      <c r="AH162" s="796" t="str">
        <f>HYPERLINK("#A263：X305")</f>
        <v>#A263：X305</v>
      </c>
      <c r="AI162" s="800" t="s">
        <v>3095</v>
      </c>
      <c r="AJ162" s="562"/>
      <c r="AK162" s="561"/>
      <c r="AL162" s="561"/>
      <c r="AM162" s="561"/>
      <c r="AN162" s="561"/>
      <c r="AO162" s="801"/>
    </row>
    <row r="163" spans="1:50" s="554" customFormat="1" ht="13.5">
      <c r="A163" s="553"/>
      <c r="B163" s="553" t="s">
        <v>557</v>
      </c>
      <c r="C163" s="553"/>
      <c r="D163" s="553"/>
      <c r="E163" s="553"/>
      <c r="F163" s="553"/>
      <c r="G163" s="819"/>
      <c r="H163" s="819"/>
      <c r="I163" s="819"/>
      <c r="J163" s="1924"/>
      <c r="K163" s="1924"/>
      <c r="L163" s="1924"/>
      <c r="M163" s="1924"/>
      <c r="N163" s="1924"/>
      <c r="O163" s="1924"/>
      <c r="P163" s="1924"/>
      <c r="Q163" s="1924"/>
      <c r="R163" s="1924"/>
      <c r="S163" s="1924"/>
      <c r="T163" s="1924"/>
      <c r="U163" s="1924"/>
      <c r="V163" s="1924"/>
      <c r="W163" s="1924"/>
      <c r="X163" s="558"/>
      <c r="AH163" s="796" t="str">
        <f>HYPERLINK("#A306：X359")</f>
        <v>#A306：X359</v>
      </c>
      <c r="AI163" s="800" t="s">
        <v>3096</v>
      </c>
      <c r="AJ163" s="801"/>
      <c r="AK163" s="801"/>
      <c r="AL163" s="801"/>
      <c r="AM163" s="801"/>
      <c r="AN163" s="801"/>
      <c r="AO163" s="801"/>
    </row>
    <row r="164" spans="1:50" s="554" customFormat="1" ht="13.5">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AH164" s="796" t="str">
        <f>HYPERLINK("#A360：X413")</f>
        <v>#A360：X413</v>
      </c>
      <c r="AI164" s="800" t="s">
        <v>3387</v>
      </c>
      <c r="AJ164" s="801"/>
      <c r="AK164" s="801"/>
      <c r="AL164" s="801"/>
      <c r="AM164" s="801"/>
      <c r="AN164" s="801"/>
      <c r="AO164" s="801"/>
    </row>
    <row r="165" spans="1:50" s="554" customFormat="1" ht="12">
      <c r="A165" s="822"/>
      <c r="B165" s="553" t="s">
        <v>3421</v>
      </c>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row>
    <row r="166" spans="1:50" s="554" customFormat="1" ht="12">
      <c r="A166" s="553"/>
      <c r="B166" s="553" t="s">
        <v>3409</v>
      </c>
      <c r="C166" s="553"/>
      <c r="D166" s="553"/>
      <c r="E166" s="553"/>
      <c r="F166" s="553"/>
      <c r="G166" s="1919"/>
      <c r="H166" s="1919"/>
      <c r="I166" s="819" t="s">
        <v>552</v>
      </c>
      <c r="J166" s="820"/>
      <c r="K166" s="1919"/>
      <c r="L166" s="1919"/>
      <c r="M166" s="1919"/>
      <c r="N166" s="1919"/>
      <c r="O166" s="819" t="s">
        <v>558</v>
      </c>
      <c r="P166" s="820"/>
      <c r="Q166" s="1920"/>
      <c r="R166" s="1920"/>
      <c r="S166" s="1920"/>
      <c r="T166" s="1920"/>
      <c r="U166" s="1920"/>
      <c r="V166" s="1920"/>
      <c r="W166" s="819" t="s">
        <v>375</v>
      </c>
      <c r="X166" s="553"/>
    </row>
    <row r="167" spans="1:50" s="554" customFormat="1" ht="12">
      <c r="A167" s="553"/>
      <c r="B167" s="553" t="s">
        <v>598</v>
      </c>
      <c r="C167" s="553"/>
      <c r="D167" s="553"/>
      <c r="E167" s="553"/>
      <c r="F167" s="553"/>
      <c r="G167" s="1921"/>
      <c r="H167" s="1921"/>
      <c r="I167" s="1921"/>
      <c r="J167" s="1921"/>
      <c r="K167" s="1921"/>
      <c r="L167" s="1921"/>
      <c r="M167" s="1921"/>
      <c r="N167" s="1921"/>
      <c r="O167" s="1921"/>
      <c r="P167" s="1921"/>
      <c r="Q167" s="1921"/>
      <c r="R167" s="1921"/>
      <c r="S167" s="1921"/>
      <c r="T167" s="1921"/>
      <c r="U167" s="1921"/>
      <c r="V167" s="1921"/>
      <c r="W167" s="1921"/>
      <c r="X167" s="558"/>
    </row>
    <row r="168" spans="1:50" s="554" customFormat="1" ht="12">
      <c r="A168" s="553"/>
      <c r="B168" s="553" t="s">
        <v>551</v>
      </c>
      <c r="C168" s="553"/>
      <c r="D168" s="553"/>
      <c r="E168" s="553"/>
      <c r="F168" s="553"/>
      <c r="G168" s="559" t="s">
        <v>2429</v>
      </c>
      <c r="H168" s="1922"/>
      <c r="I168" s="1922"/>
      <c r="J168" s="1922"/>
      <c r="K168" s="1922"/>
      <c r="L168" s="1922"/>
      <c r="M168" s="1922"/>
      <c r="N168" s="1922"/>
      <c r="O168" s="1922"/>
      <c r="P168" s="1922"/>
      <c r="Q168" s="1922"/>
      <c r="R168" s="1922"/>
      <c r="S168" s="1922"/>
      <c r="T168" s="1922"/>
      <c r="U168" s="1922"/>
      <c r="V168" s="1922"/>
      <c r="W168" s="1922"/>
      <c r="X168" s="553"/>
    </row>
    <row r="169" spans="1:50" s="554" customFormat="1" ht="12">
      <c r="A169" s="553"/>
      <c r="B169" s="553" t="s">
        <v>599</v>
      </c>
      <c r="C169" s="553"/>
      <c r="D169" s="553"/>
      <c r="E169" s="553"/>
      <c r="F169" s="553"/>
      <c r="G169" s="1923"/>
      <c r="H169" s="1923"/>
      <c r="I169" s="1923"/>
      <c r="J169" s="1923"/>
      <c r="K169" s="1923"/>
      <c r="L169" s="1923"/>
      <c r="M169" s="1923"/>
      <c r="N169" s="1923"/>
      <c r="O169" s="1923"/>
      <c r="P169" s="1923"/>
      <c r="Q169" s="1923"/>
      <c r="R169" s="1923"/>
      <c r="S169" s="1923"/>
      <c r="T169" s="1923"/>
      <c r="U169" s="1923"/>
      <c r="V169" s="1923"/>
      <c r="W169" s="1923"/>
      <c r="X169" s="558"/>
    </row>
    <row r="170" spans="1:50" s="554" customFormat="1" ht="12">
      <c r="A170" s="553"/>
      <c r="B170" s="553" t="s">
        <v>555</v>
      </c>
      <c r="C170" s="553"/>
      <c r="D170" s="553"/>
      <c r="E170" s="553"/>
      <c r="F170" s="553"/>
      <c r="G170" s="1922"/>
      <c r="H170" s="1922"/>
      <c r="I170" s="1922"/>
      <c r="J170" s="1922"/>
      <c r="K170" s="1922"/>
      <c r="L170" s="1922"/>
      <c r="M170" s="1922"/>
      <c r="N170" s="1922"/>
      <c r="O170" s="1922"/>
      <c r="P170" s="1922"/>
      <c r="Q170" s="1922"/>
      <c r="R170" s="1922"/>
      <c r="S170" s="1922"/>
      <c r="T170" s="1922"/>
      <c r="U170" s="1922"/>
      <c r="V170" s="1922"/>
      <c r="W170" s="1922"/>
      <c r="X170" s="558"/>
    </row>
    <row r="171" spans="1:50" s="554" customFormat="1" ht="12">
      <c r="A171" s="553"/>
      <c r="B171" s="553" t="s">
        <v>556</v>
      </c>
      <c r="C171" s="553"/>
      <c r="D171" s="553"/>
      <c r="E171" s="553"/>
      <c r="F171" s="553"/>
      <c r="G171" s="1922"/>
      <c r="H171" s="1922"/>
      <c r="I171" s="1922"/>
      <c r="J171" s="1922"/>
      <c r="K171" s="1922"/>
      <c r="L171" s="1922"/>
      <c r="M171" s="1922"/>
      <c r="N171" s="1922"/>
      <c r="O171" s="1922"/>
      <c r="P171" s="1922"/>
      <c r="Q171" s="1922"/>
      <c r="R171" s="1922"/>
      <c r="S171" s="1922"/>
      <c r="T171" s="1922"/>
      <c r="U171" s="1922"/>
      <c r="V171" s="1922"/>
      <c r="W171" s="1922"/>
      <c r="X171" s="558"/>
    </row>
    <row r="172" spans="1:50" s="554" customFormat="1" ht="12">
      <c r="A172" s="553"/>
      <c r="B172" s="553" t="s">
        <v>557</v>
      </c>
      <c r="C172" s="553"/>
      <c r="D172" s="553"/>
      <c r="E172" s="553"/>
      <c r="F172" s="553"/>
      <c r="G172" s="819"/>
      <c r="H172" s="819"/>
      <c r="I172" s="819"/>
      <c r="J172" s="1924"/>
      <c r="K172" s="1924"/>
      <c r="L172" s="1924"/>
      <c r="M172" s="1924"/>
      <c r="N172" s="1924"/>
      <c r="O172" s="1924"/>
      <c r="P172" s="1924"/>
      <c r="Q172" s="1924"/>
      <c r="R172" s="1924"/>
      <c r="S172" s="1924"/>
      <c r="T172" s="1924"/>
      <c r="U172" s="1924"/>
      <c r="V172" s="1924"/>
      <c r="W172" s="1924"/>
      <c r="X172" s="558"/>
    </row>
    <row r="173" spans="1:50" s="554" customFormat="1" ht="12">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row r="174" spans="1:50" s="554" customFormat="1" ht="12">
      <c r="A174" s="818" t="s">
        <v>3422</v>
      </c>
      <c r="B174" s="563"/>
      <c r="C174" s="563"/>
      <c r="D174" s="563"/>
      <c r="E174" s="563"/>
      <c r="F174" s="563"/>
      <c r="G174" s="563"/>
      <c r="H174" s="563"/>
      <c r="I174" s="563"/>
      <c r="J174" s="563"/>
      <c r="K174" s="563"/>
      <c r="L174" s="563"/>
      <c r="M174" s="563"/>
      <c r="N174" s="563"/>
      <c r="O174" s="563"/>
      <c r="P174" s="563"/>
      <c r="Q174" s="563"/>
      <c r="R174" s="563"/>
      <c r="S174" s="563"/>
      <c r="T174" s="563"/>
      <c r="U174" s="563"/>
      <c r="V174" s="563"/>
      <c r="W174" s="563"/>
      <c r="X174" s="563"/>
    </row>
    <row r="175" spans="1:50" s="554" customFormat="1" ht="12">
      <c r="A175" s="553"/>
      <c r="B175" s="553" t="s">
        <v>597</v>
      </c>
      <c r="C175" s="553"/>
      <c r="D175" s="553"/>
      <c r="E175" s="553"/>
      <c r="F175" s="553"/>
      <c r="G175" s="1912" t="str">
        <f>cst_wskakunin_sekou1_NAME</f>
        <v/>
      </c>
      <c r="H175" s="1912"/>
      <c r="I175" s="1912"/>
      <c r="J175" s="1912"/>
      <c r="K175" s="1912"/>
      <c r="L175" s="1912"/>
      <c r="M175" s="1912"/>
      <c r="N175" s="1912"/>
      <c r="O175" s="1912"/>
      <c r="P175" s="1912"/>
      <c r="Q175" s="1912"/>
      <c r="R175" s="1912"/>
      <c r="S175" s="1912"/>
      <c r="T175" s="1912"/>
      <c r="U175" s="1912"/>
      <c r="V175" s="1912"/>
      <c r="W175" s="1912"/>
      <c r="X175" s="553"/>
      <c r="Y175" s="557"/>
      <c r="Z175" s="557"/>
    </row>
    <row r="176" spans="1:50" s="557" customFormat="1" ht="12">
      <c r="A176" s="553"/>
      <c r="B176" s="553"/>
      <c r="C176" s="553"/>
      <c r="D176" s="553"/>
      <c r="E176" s="553"/>
      <c r="F176" s="553"/>
      <c r="G176" s="1912"/>
      <c r="H176" s="1912"/>
      <c r="I176" s="1912"/>
      <c r="J176" s="1912"/>
      <c r="K176" s="1912"/>
      <c r="L176" s="1912"/>
      <c r="M176" s="1912"/>
      <c r="N176" s="1912"/>
      <c r="O176" s="1912"/>
      <c r="P176" s="1912"/>
      <c r="Q176" s="1912"/>
      <c r="R176" s="1912"/>
      <c r="S176" s="1912"/>
      <c r="T176" s="1912"/>
      <c r="U176" s="1912"/>
      <c r="V176" s="1912"/>
      <c r="W176" s="1912"/>
      <c r="X176" s="553"/>
    </row>
    <row r="177" spans="1:26" s="557" customFormat="1" ht="12">
      <c r="A177" s="553"/>
      <c r="B177" s="553" t="s">
        <v>3423</v>
      </c>
      <c r="C177" s="553"/>
      <c r="D177" s="553"/>
      <c r="E177" s="553"/>
      <c r="F177" s="553"/>
      <c r="G177" s="819" t="s">
        <v>3424</v>
      </c>
      <c r="H177" s="820"/>
      <c r="I177" s="820"/>
      <c r="J177" s="820"/>
      <c r="K177" s="1914" t="str">
        <f>cst_wskakunin_sekou1_SEKOU_SIKAKU</f>
        <v/>
      </c>
      <c r="L177" s="1914"/>
      <c r="M177" s="1914"/>
      <c r="N177" s="1914"/>
      <c r="O177" s="1919" t="s">
        <v>3425</v>
      </c>
      <c r="P177" s="1919"/>
      <c r="Q177" s="1915" t="str">
        <f>cst_wskakunin_sekou1_SEKOU_NO</f>
        <v/>
      </c>
      <c r="R177" s="1915"/>
      <c r="S177" s="1915"/>
      <c r="T177" s="1915"/>
      <c r="U177" s="1915"/>
      <c r="V177" s="1915"/>
      <c r="W177" s="819" t="s">
        <v>375</v>
      </c>
      <c r="X177" s="564"/>
    </row>
    <row r="178" spans="1:26" s="557" customFormat="1" ht="12">
      <c r="A178" s="553"/>
      <c r="B178" s="553"/>
      <c r="C178" s="553"/>
      <c r="D178" s="553"/>
      <c r="E178" s="553"/>
      <c r="F178" s="553"/>
      <c r="G178" s="1913" t="str">
        <f>cst_wskakunin_sekou1_JIMU_NAME</f>
        <v/>
      </c>
      <c r="H178" s="1913"/>
      <c r="I178" s="1913"/>
      <c r="J178" s="1913"/>
      <c r="K178" s="1913"/>
      <c r="L178" s="1913"/>
      <c r="M178" s="1913"/>
      <c r="N178" s="1913"/>
      <c r="O178" s="1913"/>
      <c r="P178" s="1913"/>
      <c r="Q178" s="1913"/>
      <c r="R178" s="1913"/>
      <c r="S178" s="1913"/>
      <c r="T178" s="1913"/>
      <c r="U178" s="1913"/>
      <c r="V178" s="1913"/>
      <c r="W178" s="1913"/>
      <c r="X178" s="564"/>
    </row>
    <row r="179" spans="1:26" s="557" customFormat="1" ht="12">
      <c r="A179" s="553"/>
      <c r="B179" s="553" t="s">
        <v>551</v>
      </c>
      <c r="C179" s="553"/>
      <c r="D179" s="553"/>
      <c r="E179" s="553"/>
      <c r="F179" s="553"/>
      <c r="G179" s="559" t="s">
        <v>2429</v>
      </c>
      <c r="H179" s="1913" t="str">
        <f>cst_wskakunin_sekou1_ZIP</f>
        <v/>
      </c>
      <c r="I179" s="1913"/>
      <c r="J179" s="1913"/>
      <c r="K179" s="1913"/>
      <c r="L179" s="1913"/>
      <c r="M179" s="1913"/>
      <c r="N179" s="1913"/>
      <c r="O179" s="1913"/>
      <c r="P179" s="1913"/>
      <c r="Q179" s="1913"/>
      <c r="R179" s="1913"/>
      <c r="S179" s="1913"/>
      <c r="T179" s="1913"/>
      <c r="U179" s="1913"/>
      <c r="V179" s="1913"/>
      <c r="W179" s="1913"/>
    </row>
    <row r="180" spans="1:26" s="557" customFormat="1" ht="12">
      <c r="A180" s="553"/>
      <c r="B180" s="553" t="s">
        <v>599</v>
      </c>
      <c r="C180" s="553"/>
      <c r="D180" s="553"/>
      <c r="E180" s="553"/>
      <c r="F180" s="553"/>
      <c r="G180" s="1912" t="str">
        <f>cst_wskakunin_sekou1__address</f>
        <v/>
      </c>
      <c r="H180" s="1912"/>
      <c r="I180" s="1912"/>
      <c r="J180" s="1912"/>
      <c r="K180" s="1912"/>
      <c r="L180" s="1912"/>
      <c r="M180" s="1912"/>
      <c r="N180" s="1912"/>
      <c r="O180" s="1912"/>
      <c r="P180" s="1912"/>
      <c r="Q180" s="1912"/>
      <c r="R180" s="1912"/>
      <c r="S180" s="1912"/>
      <c r="T180" s="1912"/>
      <c r="U180" s="1912"/>
      <c r="V180" s="1912"/>
      <c r="W180" s="1912"/>
    </row>
    <row r="181" spans="1:26" s="557" customFormat="1" ht="12">
      <c r="A181" s="553"/>
      <c r="B181" s="553"/>
      <c r="C181" s="553"/>
      <c r="D181" s="553"/>
      <c r="E181" s="553"/>
      <c r="F181" s="553"/>
      <c r="G181" s="1912"/>
      <c r="H181" s="1912"/>
      <c r="I181" s="1912"/>
      <c r="J181" s="1912"/>
      <c r="K181" s="1912"/>
      <c r="L181" s="1912"/>
      <c r="M181" s="1912"/>
      <c r="N181" s="1912"/>
      <c r="O181" s="1912"/>
      <c r="P181" s="1912"/>
      <c r="Q181" s="1912"/>
      <c r="R181" s="1912"/>
      <c r="S181" s="1912"/>
      <c r="T181" s="1912"/>
      <c r="U181" s="1912"/>
      <c r="V181" s="1912"/>
      <c r="W181" s="1912"/>
    </row>
    <row r="182" spans="1:26" s="557" customFormat="1" ht="12">
      <c r="A182" s="553"/>
      <c r="B182" s="553" t="s">
        <v>555</v>
      </c>
      <c r="C182" s="553"/>
      <c r="D182" s="553"/>
      <c r="E182" s="553"/>
      <c r="F182" s="553"/>
      <c r="G182" s="1913" t="str">
        <f>cst_wskakunin_sekou1_TEL</f>
        <v/>
      </c>
      <c r="H182" s="1913"/>
      <c r="I182" s="1913"/>
      <c r="J182" s="1913"/>
      <c r="K182" s="1913"/>
      <c r="L182" s="1913"/>
      <c r="M182" s="1913"/>
      <c r="N182" s="1913"/>
      <c r="O182" s="1913"/>
      <c r="P182" s="1913"/>
      <c r="Q182" s="1913"/>
      <c r="R182" s="1913"/>
      <c r="S182" s="1913"/>
      <c r="T182" s="1913"/>
      <c r="U182" s="1913"/>
      <c r="V182" s="1913"/>
      <c r="W182" s="1913"/>
    </row>
    <row r="183" spans="1:26" s="557" customFormat="1" ht="12">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Y183" s="792"/>
      <c r="Z183" s="792"/>
    </row>
    <row r="184" spans="1:26" ht="12">
      <c r="A184" s="818" t="s">
        <v>3426</v>
      </c>
      <c r="B184" s="563"/>
      <c r="C184" s="563"/>
      <c r="D184" s="563"/>
      <c r="E184" s="563"/>
      <c r="F184" s="563"/>
      <c r="G184" s="563"/>
      <c r="H184" s="563"/>
      <c r="I184" s="563"/>
      <c r="J184" s="563"/>
      <c r="K184" s="563"/>
      <c r="L184" s="563"/>
      <c r="M184" s="563"/>
      <c r="N184" s="563"/>
      <c r="O184" s="563"/>
      <c r="P184" s="563"/>
      <c r="Q184" s="563"/>
      <c r="R184" s="563"/>
      <c r="S184" s="563"/>
      <c r="T184" s="563"/>
      <c r="U184" s="563"/>
      <c r="V184" s="563"/>
      <c r="W184" s="563"/>
      <c r="X184" s="823"/>
    </row>
    <row r="185" spans="1:26" ht="12">
      <c r="A185" s="553"/>
      <c r="B185" s="1925" t="str">
        <f>cst_wskakunin_BUILD_NAME_KANA</f>
        <v/>
      </c>
      <c r="C185" s="1925"/>
      <c r="D185" s="1925"/>
      <c r="E185" s="1925"/>
      <c r="F185" s="1925"/>
      <c r="G185" s="1925"/>
      <c r="H185" s="1925"/>
      <c r="I185" s="1925"/>
      <c r="J185" s="1925"/>
      <c r="K185" s="1925"/>
      <c r="L185" s="1925"/>
      <c r="M185" s="1925"/>
      <c r="N185" s="1925"/>
      <c r="O185" s="1925"/>
      <c r="P185" s="1925"/>
      <c r="Q185" s="1925"/>
      <c r="R185" s="1925"/>
      <c r="S185" s="1925"/>
      <c r="T185" s="1925"/>
      <c r="U185" s="1925"/>
      <c r="V185" s="1925"/>
      <c r="W185" s="1925"/>
      <c r="X185" s="557"/>
    </row>
    <row r="186" spans="1:26" ht="12">
      <c r="A186" s="553"/>
      <c r="B186" s="1925" t="str">
        <f>cst_wskakunin_BUILD_NAME</f>
        <v>練習用</v>
      </c>
      <c r="C186" s="1925"/>
      <c r="D186" s="1925"/>
      <c r="E186" s="1925"/>
      <c r="F186" s="1925"/>
      <c r="G186" s="1925"/>
      <c r="H186" s="1925"/>
      <c r="I186" s="1925"/>
      <c r="J186" s="1925"/>
      <c r="K186" s="1925"/>
      <c r="L186" s="1925"/>
      <c r="M186" s="1925"/>
      <c r="N186" s="1925"/>
      <c r="O186" s="1925"/>
      <c r="P186" s="1925"/>
      <c r="Q186" s="1925"/>
      <c r="R186" s="1925"/>
      <c r="S186" s="1925"/>
      <c r="T186" s="1925"/>
      <c r="U186" s="1925"/>
      <c r="V186" s="1925"/>
      <c r="W186" s="1925"/>
      <c r="X186" s="557"/>
    </row>
    <row r="187" spans="1:26" ht="12">
      <c r="A187" s="565"/>
      <c r="B187" s="565"/>
      <c r="C187" s="565"/>
      <c r="D187" s="565"/>
      <c r="E187" s="565"/>
      <c r="F187" s="565"/>
      <c r="G187" s="565"/>
      <c r="H187" s="565"/>
      <c r="I187" s="565"/>
      <c r="J187" s="565"/>
      <c r="K187" s="565"/>
      <c r="L187" s="565"/>
      <c r="M187" s="565"/>
      <c r="N187" s="565"/>
      <c r="O187" s="565"/>
      <c r="P187" s="565"/>
      <c r="Q187" s="565"/>
      <c r="R187" s="565"/>
      <c r="S187" s="565"/>
      <c r="T187" s="565"/>
      <c r="U187" s="565"/>
      <c r="V187" s="565"/>
      <c r="W187" s="565"/>
      <c r="X187" s="824"/>
    </row>
    <row r="188" spans="1:26" ht="12">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7"/>
    </row>
    <row r="189" spans="1:26" ht="12">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7"/>
    </row>
    <row r="190" spans="1:26" ht="12">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7"/>
    </row>
    <row r="191" spans="1:26" ht="12">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7"/>
    </row>
    <row r="192" spans="1:26" ht="12">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7"/>
    </row>
    <row r="193" spans="1:24" ht="12">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7"/>
    </row>
    <row r="194" spans="1:24" ht="12">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7"/>
    </row>
    <row r="195" spans="1:24" ht="12">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7"/>
    </row>
    <row r="196" spans="1:24" ht="12">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7"/>
    </row>
    <row r="197" spans="1:24" ht="12">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7"/>
    </row>
    <row r="198" spans="1:24" ht="12">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7"/>
    </row>
    <row r="199" spans="1:24" ht="12">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7"/>
    </row>
    <row r="200" spans="1:24" ht="12">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7"/>
    </row>
    <row r="201" spans="1:24" ht="12">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7"/>
    </row>
    <row r="202" spans="1:24" ht="12">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7"/>
    </row>
    <row r="203" spans="1:24" ht="12">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7"/>
    </row>
    <row r="204" spans="1:24" ht="12">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7"/>
    </row>
    <row r="205" spans="1:24" ht="12">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7"/>
    </row>
    <row r="206" spans="1:24" ht="12">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7"/>
    </row>
    <row r="207" spans="1:24" ht="12">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7"/>
    </row>
    <row r="208" spans="1:24" ht="12">
      <c r="A208" s="557"/>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7"/>
    </row>
    <row r="209" spans="1:41" s="557" customFormat="1" ht="13.5">
      <c r="A209" s="1904" t="s">
        <v>3165</v>
      </c>
      <c r="B209" s="1904"/>
      <c r="C209" s="1904"/>
      <c r="D209" s="1904"/>
      <c r="E209" s="1904"/>
      <c r="F209" s="1904"/>
      <c r="G209" s="1904"/>
      <c r="H209" s="1904"/>
      <c r="I209" s="1904"/>
      <c r="J209" s="1904"/>
      <c r="K209" s="1904"/>
      <c r="L209" s="1904"/>
      <c r="M209" s="1904"/>
      <c r="N209" s="1904"/>
      <c r="O209" s="1904"/>
      <c r="P209" s="1904"/>
      <c r="Q209" s="1904"/>
      <c r="R209" s="1904"/>
      <c r="S209" s="1904"/>
      <c r="T209" s="1904"/>
      <c r="U209" s="1904"/>
      <c r="V209" s="1904"/>
      <c r="W209" s="1904"/>
      <c r="X209" s="1904"/>
      <c r="AB209" s="564"/>
      <c r="AH209" s="793" t="s">
        <v>3093</v>
      </c>
      <c r="AI209" s="793"/>
      <c r="AJ209" s="733"/>
      <c r="AK209" s="792"/>
      <c r="AL209" s="792"/>
      <c r="AM209" s="792"/>
      <c r="AN209" s="792"/>
      <c r="AO209" s="792"/>
    </row>
    <row r="210" spans="1:41" s="557" customFormat="1" ht="12">
      <c r="A210" s="792" t="s">
        <v>3166</v>
      </c>
      <c r="B210" s="555"/>
      <c r="C210" s="555"/>
      <c r="D210" s="555"/>
      <c r="E210" s="555"/>
      <c r="F210" s="555"/>
      <c r="G210" s="555"/>
      <c r="H210" s="555"/>
      <c r="I210" s="555"/>
      <c r="J210" s="555"/>
      <c r="K210" s="555"/>
      <c r="L210" s="555"/>
      <c r="M210" s="555"/>
      <c r="N210" s="555"/>
      <c r="O210" s="555"/>
      <c r="P210" s="555"/>
      <c r="Q210" s="555"/>
      <c r="R210" s="555"/>
      <c r="S210" s="555"/>
      <c r="T210" s="555"/>
      <c r="U210" s="555"/>
      <c r="V210" s="555"/>
      <c r="W210" s="555"/>
      <c r="X210" s="555"/>
      <c r="AH210" s="794" t="s">
        <v>2845</v>
      </c>
      <c r="AI210" s="793"/>
      <c r="AJ210" s="795"/>
      <c r="AK210" s="792"/>
      <c r="AL210" s="792"/>
      <c r="AM210" s="792"/>
      <c r="AN210" s="792"/>
      <c r="AO210" s="792"/>
    </row>
    <row r="211" spans="1:41" s="554" customFormat="1" ht="13.5">
      <c r="A211" s="563" t="s">
        <v>3167</v>
      </c>
      <c r="B211" s="563"/>
      <c r="C211" s="563"/>
      <c r="D211" s="563"/>
      <c r="E211" s="563"/>
      <c r="F211" s="563"/>
      <c r="G211" s="563"/>
      <c r="H211" s="563"/>
      <c r="I211" s="563"/>
      <c r="J211" s="563"/>
      <c r="K211" s="563"/>
      <c r="L211" s="563"/>
      <c r="M211" s="563"/>
      <c r="N211" s="563"/>
      <c r="O211" s="563"/>
      <c r="P211" s="563"/>
      <c r="Q211" s="563"/>
      <c r="R211" s="563"/>
      <c r="S211" s="563"/>
      <c r="T211" s="563"/>
      <c r="U211" s="563"/>
      <c r="V211" s="563"/>
      <c r="W211" s="563"/>
      <c r="X211" s="563"/>
      <c r="AH211" s="796" t="str">
        <f>HYPERLINK("#A1：X46")</f>
        <v>#A1：X46</v>
      </c>
      <c r="AI211" s="797" t="s">
        <v>2723</v>
      </c>
      <c r="AJ211" s="798"/>
      <c r="AK211" s="799"/>
      <c r="AL211" s="799"/>
      <c r="AM211" s="799"/>
      <c r="AN211" s="799"/>
      <c r="AO211" s="799"/>
    </row>
    <row r="212" spans="1:41" s="554" customFormat="1" ht="13.5">
      <c r="B212" s="553" t="s">
        <v>3406</v>
      </c>
      <c r="C212" s="553"/>
      <c r="D212" s="553"/>
      <c r="E212" s="553"/>
      <c r="F212" s="553"/>
      <c r="G212" s="1911" t="str">
        <f>cst_wskakunin_owner2_NAME_KANA</f>
        <v/>
      </c>
      <c r="H212" s="1911"/>
      <c r="I212" s="1911"/>
      <c r="J212" s="1911"/>
      <c r="K212" s="1911"/>
      <c r="L212" s="1911"/>
      <c r="M212" s="1911"/>
      <c r="N212" s="1911"/>
      <c r="O212" s="1911"/>
      <c r="P212" s="1911"/>
      <c r="Q212" s="1911"/>
      <c r="R212" s="1911"/>
      <c r="S212" s="1911"/>
      <c r="T212" s="1911"/>
      <c r="U212" s="1911"/>
      <c r="V212" s="1911"/>
      <c r="W212" s="1911"/>
      <c r="X212" s="557"/>
      <c r="AH212" s="796" t="str">
        <f>HYPERLINK("#A47：X100")</f>
        <v>#A47：X100</v>
      </c>
      <c r="AI212" s="800" t="s">
        <v>2726</v>
      </c>
      <c r="AJ212" s="560"/>
      <c r="AK212" s="561"/>
      <c r="AL212" s="561"/>
      <c r="AM212" s="561"/>
      <c r="AN212" s="561"/>
      <c r="AO212" s="801"/>
    </row>
    <row r="213" spans="1:41" s="554" customFormat="1" ht="13.5">
      <c r="A213" s="553"/>
      <c r="B213" s="553" t="s">
        <v>560</v>
      </c>
      <c r="C213" s="553"/>
      <c r="D213" s="553"/>
      <c r="E213" s="553"/>
      <c r="F213" s="553"/>
      <c r="G213" s="1912" t="str">
        <f>cst_wskakunin_owner2_NAME</f>
        <v/>
      </c>
      <c r="H213" s="1912"/>
      <c r="I213" s="1912"/>
      <c r="J213" s="1912"/>
      <c r="K213" s="1912"/>
      <c r="L213" s="1912"/>
      <c r="M213" s="1912"/>
      <c r="N213" s="1912"/>
      <c r="O213" s="1912"/>
      <c r="P213" s="1912"/>
      <c r="Q213" s="1912"/>
      <c r="R213" s="1912"/>
      <c r="S213" s="1912"/>
      <c r="T213" s="1912"/>
      <c r="U213" s="1912"/>
      <c r="V213" s="1912"/>
      <c r="W213" s="1912"/>
      <c r="X213" s="558"/>
      <c r="AH213" s="796" t="str">
        <f>HYPERLINK("#A101：X154")</f>
        <v>#A101：X154</v>
      </c>
      <c r="AI213" s="800" t="s">
        <v>3094</v>
      </c>
      <c r="AJ213" s="562"/>
      <c r="AK213" s="561"/>
      <c r="AL213" s="561"/>
      <c r="AM213" s="561"/>
      <c r="AN213" s="561"/>
      <c r="AO213" s="801"/>
    </row>
    <row r="214" spans="1:41" s="554" customFormat="1" ht="13.5">
      <c r="A214" s="553"/>
      <c r="B214" s="553"/>
      <c r="C214" s="553"/>
      <c r="D214" s="553"/>
      <c r="E214" s="553"/>
      <c r="F214" s="553"/>
      <c r="G214" s="1912"/>
      <c r="H214" s="1912"/>
      <c r="I214" s="1912"/>
      <c r="J214" s="1912"/>
      <c r="K214" s="1912"/>
      <c r="L214" s="1912"/>
      <c r="M214" s="1912"/>
      <c r="N214" s="1912"/>
      <c r="O214" s="1912"/>
      <c r="P214" s="1912"/>
      <c r="Q214" s="1912"/>
      <c r="R214" s="1912"/>
      <c r="S214" s="1912"/>
      <c r="T214" s="1912"/>
      <c r="U214" s="1912"/>
      <c r="V214" s="1912"/>
      <c r="W214" s="1912"/>
      <c r="X214" s="558"/>
      <c r="AH214" s="796" t="str">
        <f>HYPERLINK("#A155：X208")</f>
        <v>#A155：X208</v>
      </c>
      <c r="AI214" s="800" t="s">
        <v>3385</v>
      </c>
      <c r="AJ214" s="562"/>
      <c r="AK214" s="561"/>
      <c r="AL214" s="561"/>
      <c r="AM214" s="561"/>
      <c r="AN214" s="561"/>
      <c r="AO214" s="801"/>
    </row>
    <row r="215" spans="1:41" s="554" customFormat="1" ht="13.5">
      <c r="A215" s="553"/>
      <c r="B215" s="553" t="s">
        <v>551</v>
      </c>
      <c r="C215" s="553"/>
      <c r="D215" s="553"/>
      <c r="E215" s="553"/>
      <c r="F215" s="553"/>
      <c r="G215" s="559" t="s">
        <v>2429</v>
      </c>
      <c r="H215" s="1913" t="str">
        <f>cst_wskakunin_owner2_ZIP</f>
        <v/>
      </c>
      <c r="I215" s="1913"/>
      <c r="J215" s="1913"/>
      <c r="K215" s="1913"/>
      <c r="L215" s="1913"/>
      <c r="M215" s="1913"/>
      <c r="N215" s="1913"/>
      <c r="O215" s="1913"/>
      <c r="P215" s="1913"/>
      <c r="Q215" s="1913"/>
      <c r="R215" s="1913"/>
      <c r="S215" s="1913"/>
      <c r="T215" s="1913"/>
      <c r="U215" s="1913"/>
      <c r="V215" s="1913"/>
      <c r="W215" s="1913"/>
      <c r="X215" s="553"/>
      <c r="AH215" s="796" t="str">
        <f>HYPERLINK("#A209：X262")</f>
        <v>#A209：X262</v>
      </c>
      <c r="AI215" s="800" t="s">
        <v>3098</v>
      </c>
      <c r="AJ215" s="560"/>
      <c r="AK215" s="561"/>
      <c r="AL215" s="561"/>
      <c r="AM215" s="561"/>
      <c r="AN215" s="561"/>
      <c r="AO215" s="801"/>
    </row>
    <row r="216" spans="1:41" s="554" customFormat="1" ht="13.5">
      <c r="A216" s="553"/>
      <c r="B216" s="553" t="s">
        <v>3407</v>
      </c>
      <c r="C216" s="553"/>
      <c r="D216" s="553"/>
      <c r="E216" s="553"/>
      <c r="F216" s="553"/>
      <c r="G216" s="1912" t="str">
        <f>cst_wskakunin_owner2__address</f>
        <v/>
      </c>
      <c r="H216" s="1912"/>
      <c r="I216" s="1912"/>
      <c r="J216" s="1912"/>
      <c r="K216" s="1912"/>
      <c r="L216" s="1912"/>
      <c r="M216" s="1912"/>
      <c r="N216" s="1912"/>
      <c r="O216" s="1912"/>
      <c r="P216" s="1912"/>
      <c r="Q216" s="1912"/>
      <c r="R216" s="1912"/>
      <c r="S216" s="1912"/>
      <c r="T216" s="1912"/>
      <c r="U216" s="1912"/>
      <c r="V216" s="1912"/>
      <c r="W216" s="1912"/>
      <c r="X216" s="558"/>
      <c r="AH216" s="796" t="str">
        <f>HYPERLINK("#A263：X305")</f>
        <v>#A263：X305</v>
      </c>
      <c r="AI216" s="800" t="s">
        <v>3095</v>
      </c>
      <c r="AJ216" s="562"/>
      <c r="AK216" s="561"/>
      <c r="AL216" s="561"/>
      <c r="AM216" s="561"/>
      <c r="AN216" s="561"/>
      <c r="AO216" s="801"/>
    </row>
    <row r="217" spans="1:41" s="554" customFormat="1" ht="13.5">
      <c r="A217" s="553"/>
      <c r="B217" s="553"/>
      <c r="C217" s="553"/>
      <c r="D217" s="553"/>
      <c r="E217" s="553"/>
      <c r="F217" s="553"/>
      <c r="G217" s="1912"/>
      <c r="H217" s="1912"/>
      <c r="I217" s="1912"/>
      <c r="J217" s="1912"/>
      <c r="K217" s="1912"/>
      <c r="L217" s="1912"/>
      <c r="M217" s="1912"/>
      <c r="N217" s="1912"/>
      <c r="O217" s="1912"/>
      <c r="P217" s="1912"/>
      <c r="Q217" s="1912"/>
      <c r="R217" s="1912"/>
      <c r="S217" s="1912"/>
      <c r="T217" s="1912"/>
      <c r="U217" s="1912"/>
      <c r="V217" s="1912"/>
      <c r="W217" s="1912"/>
      <c r="X217" s="558"/>
      <c r="AH217" s="796" t="str">
        <f>HYPERLINK("#A306：X359")</f>
        <v>#A306：X359</v>
      </c>
      <c r="AI217" s="800" t="s">
        <v>3096</v>
      </c>
      <c r="AJ217" s="801"/>
      <c r="AK217" s="801"/>
      <c r="AL217" s="801"/>
      <c r="AM217" s="801"/>
      <c r="AN217" s="801"/>
      <c r="AO217" s="801"/>
    </row>
    <row r="218" spans="1:41" s="554" customFormat="1" ht="13.5">
      <c r="A218" s="553"/>
      <c r="B218" s="553" t="s">
        <v>555</v>
      </c>
      <c r="C218" s="553"/>
      <c r="D218" s="553"/>
      <c r="E218" s="553"/>
      <c r="F218" s="553"/>
      <c r="G218" s="1913" t="str">
        <f>cst_wskakunin_owner2_TEL</f>
        <v/>
      </c>
      <c r="H218" s="1913"/>
      <c r="I218" s="1913"/>
      <c r="J218" s="1913"/>
      <c r="K218" s="1913"/>
      <c r="L218" s="1913"/>
      <c r="M218" s="1913"/>
      <c r="N218" s="1913"/>
      <c r="O218" s="1913"/>
      <c r="P218" s="1913"/>
      <c r="Q218" s="1913"/>
      <c r="R218" s="1913"/>
      <c r="S218" s="1913"/>
      <c r="T218" s="1913"/>
      <c r="U218" s="1913"/>
      <c r="V218" s="1913"/>
      <c r="W218" s="1913"/>
      <c r="X218" s="558"/>
      <c r="AH218" s="796" t="str">
        <f>HYPERLINK("#A360：X413")</f>
        <v>#A360：X413</v>
      </c>
      <c r="AI218" s="800" t="s">
        <v>3387</v>
      </c>
      <c r="AJ218" s="801"/>
      <c r="AK218" s="801"/>
      <c r="AL218" s="801"/>
      <c r="AM218" s="801"/>
      <c r="AN218" s="801"/>
      <c r="AO218" s="801"/>
    </row>
    <row r="219" spans="1:41" s="554" customFormat="1" ht="12">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row>
    <row r="220" spans="1:41" s="554" customFormat="1" ht="12">
      <c r="A220" s="563" t="s">
        <v>3168</v>
      </c>
      <c r="B220" s="563"/>
      <c r="C220" s="563"/>
      <c r="D220" s="563"/>
      <c r="E220" s="563"/>
      <c r="F220" s="563"/>
      <c r="G220" s="563"/>
      <c r="H220" s="563"/>
      <c r="I220" s="563"/>
      <c r="J220" s="563"/>
      <c r="K220" s="563"/>
      <c r="L220" s="563"/>
      <c r="M220" s="563"/>
      <c r="N220" s="563"/>
      <c r="O220" s="563"/>
      <c r="P220" s="563"/>
      <c r="Q220" s="563"/>
      <c r="R220" s="563"/>
      <c r="S220" s="563"/>
      <c r="T220" s="563"/>
      <c r="U220" s="563"/>
      <c r="V220" s="563"/>
      <c r="W220" s="563"/>
      <c r="X220" s="563"/>
    </row>
    <row r="221" spans="1:41" s="554" customFormat="1" ht="12">
      <c r="B221" s="553" t="s">
        <v>3406</v>
      </c>
      <c r="C221" s="553"/>
      <c r="D221" s="553"/>
      <c r="E221" s="553"/>
      <c r="F221" s="553"/>
      <c r="G221" s="1911" t="str">
        <f>cst_wskakunin_owner3_NAME_KANA</f>
        <v/>
      </c>
      <c r="H221" s="1911"/>
      <c r="I221" s="1911"/>
      <c r="J221" s="1911"/>
      <c r="K221" s="1911"/>
      <c r="L221" s="1911"/>
      <c r="M221" s="1911"/>
      <c r="N221" s="1911"/>
      <c r="O221" s="1911"/>
      <c r="P221" s="1911"/>
      <c r="Q221" s="1911"/>
      <c r="R221" s="1911"/>
      <c r="S221" s="1911"/>
      <c r="T221" s="1911"/>
      <c r="U221" s="1911"/>
      <c r="V221" s="1911"/>
      <c r="W221" s="1911"/>
      <c r="X221" s="557"/>
    </row>
    <row r="222" spans="1:41" s="554" customFormat="1" ht="12">
      <c r="A222" s="553"/>
      <c r="B222" s="553" t="s">
        <v>560</v>
      </c>
      <c r="C222" s="553"/>
      <c r="D222" s="553"/>
      <c r="E222" s="553"/>
      <c r="F222" s="553"/>
      <c r="G222" s="1912" t="str">
        <f>cst_wskakunin_owner3_NAME</f>
        <v/>
      </c>
      <c r="H222" s="1912"/>
      <c r="I222" s="1912"/>
      <c r="J222" s="1912"/>
      <c r="K222" s="1912"/>
      <c r="L222" s="1912"/>
      <c r="M222" s="1912"/>
      <c r="N222" s="1912"/>
      <c r="O222" s="1912"/>
      <c r="P222" s="1912"/>
      <c r="Q222" s="1912"/>
      <c r="R222" s="1912"/>
      <c r="S222" s="1912"/>
      <c r="T222" s="1912"/>
      <c r="U222" s="1912"/>
      <c r="V222" s="1912"/>
      <c r="W222" s="1912"/>
      <c r="X222" s="558"/>
    </row>
    <row r="223" spans="1:41" s="554" customFormat="1" ht="12">
      <c r="A223" s="553"/>
      <c r="B223" s="553"/>
      <c r="C223" s="553"/>
      <c r="D223" s="553"/>
      <c r="E223" s="553"/>
      <c r="F223" s="553"/>
      <c r="G223" s="1912"/>
      <c r="H223" s="1912"/>
      <c r="I223" s="1912"/>
      <c r="J223" s="1912"/>
      <c r="K223" s="1912"/>
      <c r="L223" s="1912"/>
      <c r="M223" s="1912"/>
      <c r="N223" s="1912"/>
      <c r="O223" s="1912"/>
      <c r="P223" s="1912"/>
      <c r="Q223" s="1912"/>
      <c r="R223" s="1912"/>
      <c r="S223" s="1912"/>
      <c r="T223" s="1912"/>
      <c r="U223" s="1912"/>
      <c r="V223" s="1912"/>
      <c r="W223" s="1912"/>
      <c r="X223" s="558"/>
    </row>
    <row r="224" spans="1:41" s="554" customFormat="1" ht="12">
      <c r="A224" s="553"/>
      <c r="B224" s="553" t="s">
        <v>551</v>
      </c>
      <c r="C224" s="553"/>
      <c r="D224" s="553"/>
      <c r="E224" s="553"/>
      <c r="F224" s="553"/>
      <c r="G224" s="559" t="s">
        <v>2429</v>
      </c>
      <c r="H224" s="1913" t="str">
        <f>cst_wskakunin_owner3_ZIP</f>
        <v/>
      </c>
      <c r="I224" s="1913"/>
      <c r="J224" s="1913"/>
      <c r="K224" s="1913"/>
      <c r="L224" s="1913"/>
      <c r="M224" s="1913"/>
      <c r="N224" s="1913"/>
      <c r="O224" s="1913"/>
      <c r="P224" s="1913"/>
      <c r="Q224" s="1913"/>
      <c r="R224" s="1913"/>
      <c r="S224" s="1913"/>
      <c r="T224" s="1913"/>
      <c r="U224" s="1913"/>
      <c r="V224" s="1913"/>
      <c r="W224" s="1913"/>
      <c r="X224" s="553"/>
    </row>
    <row r="225" spans="1:24" s="554" customFormat="1" ht="12">
      <c r="A225" s="553"/>
      <c r="B225" s="553" t="s">
        <v>3407</v>
      </c>
      <c r="C225" s="553"/>
      <c r="D225" s="553"/>
      <c r="E225" s="553"/>
      <c r="F225" s="553"/>
      <c r="G225" s="1912" t="str">
        <f>cst_wskakunin_owner3__address</f>
        <v/>
      </c>
      <c r="H225" s="1912"/>
      <c r="I225" s="1912"/>
      <c r="J225" s="1912"/>
      <c r="K225" s="1912"/>
      <c r="L225" s="1912"/>
      <c r="M225" s="1912"/>
      <c r="N225" s="1912"/>
      <c r="O225" s="1912"/>
      <c r="P225" s="1912"/>
      <c r="Q225" s="1912"/>
      <c r="R225" s="1912"/>
      <c r="S225" s="1912"/>
      <c r="T225" s="1912"/>
      <c r="U225" s="1912"/>
      <c r="V225" s="1912"/>
      <c r="W225" s="1912"/>
      <c r="X225" s="558"/>
    </row>
    <row r="226" spans="1:24" s="554" customFormat="1" ht="12">
      <c r="A226" s="553"/>
      <c r="B226" s="553"/>
      <c r="C226" s="553"/>
      <c r="D226" s="553"/>
      <c r="E226" s="553"/>
      <c r="F226" s="553"/>
      <c r="G226" s="1912"/>
      <c r="H226" s="1912"/>
      <c r="I226" s="1912"/>
      <c r="J226" s="1912"/>
      <c r="K226" s="1912"/>
      <c r="L226" s="1912"/>
      <c r="M226" s="1912"/>
      <c r="N226" s="1912"/>
      <c r="O226" s="1912"/>
      <c r="P226" s="1912"/>
      <c r="Q226" s="1912"/>
      <c r="R226" s="1912"/>
      <c r="S226" s="1912"/>
      <c r="T226" s="1912"/>
      <c r="U226" s="1912"/>
      <c r="V226" s="1912"/>
      <c r="W226" s="1912"/>
      <c r="X226" s="558"/>
    </row>
    <row r="227" spans="1:24" s="554" customFormat="1" ht="12">
      <c r="A227" s="553"/>
      <c r="B227" s="553" t="s">
        <v>555</v>
      </c>
      <c r="C227" s="553"/>
      <c r="D227" s="553"/>
      <c r="E227" s="553"/>
      <c r="F227" s="553"/>
      <c r="G227" s="1913" t="str">
        <f>cst_wskakunin_owner3_TEL</f>
        <v/>
      </c>
      <c r="H227" s="1913"/>
      <c r="I227" s="1913"/>
      <c r="J227" s="1913"/>
      <c r="K227" s="1913"/>
      <c r="L227" s="1913"/>
      <c r="M227" s="1913"/>
      <c r="N227" s="1913"/>
      <c r="O227" s="1913"/>
      <c r="P227" s="1913"/>
      <c r="Q227" s="1913"/>
      <c r="R227" s="1913"/>
      <c r="S227" s="1913"/>
      <c r="T227" s="1913"/>
      <c r="U227" s="1913"/>
      <c r="V227" s="1913"/>
      <c r="W227" s="1913"/>
      <c r="X227" s="558"/>
    </row>
    <row r="228" spans="1:24" s="554" customFormat="1" ht="12">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row>
    <row r="229" spans="1:24" s="554" customFormat="1" ht="12">
      <c r="A229" s="563" t="s">
        <v>3169</v>
      </c>
      <c r="B229" s="563"/>
      <c r="C229" s="563"/>
      <c r="D229" s="563"/>
      <c r="E229" s="563"/>
      <c r="F229" s="563"/>
      <c r="G229" s="563"/>
      <c r="H229" s="563"/>
      <c r="I229" s="563"/>
      <c r="J229" s="563"/>
      <c r="K229" s="563"/>
      <c r="L229" s="563"/>
      <c r="M229" s="563"/>
      <c r="N229" s="563"/>
      <c r="O229" s="563"/>
      <c r="P229" s="563"/>
      <c r="Q229" s="563"/>
      <c r="R229" s="563"/>
      <c r="S229" s="563"/>
      <c r="T229" s="563"/>
      <c r="U229" s="563"/>
      <c r="V229" s="563"/>
      <c r="W229" s="563"/>
      <c r="X229" s="563"/>
    </row>
    <row r="230" spans="1:24" s="554" customFormat="1" ht="12">
      <c r="B230" s="553" t="s">
        <v>3406</v>
      </c>
      <c r="C230" s="553"/>
      <c r="D230" s="553"/>
      <c r="E230" s="553"/>
      <c r="F230" s="553"/>
      <c r="G230" s="1911" t="str">
        <f>cst_wskakunin_owner4_NAME_KANA</f>
        <v/>
      </c>
      <c r="H230" s="1911"/>
      <c r="I230" s="1911"/>
      <c r="J230" s="1911"/>
      <c r="K230" s="1911"/>
      <c r="L230" s="1911"/>
      <c r="M230" s="1911"/>
      <c r="N230" s="1911"/>
      <c r="O230" s="1911"/>
      <c r="P230" s="1911"/>
      <c r="Q230" s="1911"/>
      <c r="R230" s="1911"/>
      <c r="S230" s="1911"/>
      <c r="T230" s="1911"/>
      <c r="U230" s="1911"/>
      <c r="V230" s="1911"/>
      <c r="W230" s="1911"/>
      <c r="X230" s="557"/>
    </row>
    <row r="231" spans="1:24" s="554" customFormat="1" ht="12">
      <c r="A231" s="553"/>
      <c r="B231" s="553" t="s">
        <v>560</v>
      </c>
      <c r="C231" s="553"/>
      <c r="D231" s="553"/>
      <c r="E231" s="553"/>
      <c r="F231" s="553"/>
      <c r="G231" s="1912" t="str">
        <f>cst_wskakunin_owner4_NAME</f>
        <v/>
      </c>
      <c r="H231" s="1912"/>
      <c r="I231" s="1912"/>
      <c r="J231" s="1912"/>
      <c r="K231" s="1912"/>
      <c r="L231" s="1912"/>
      <c r="M231" s="1912"/>
      <c r="N231" s="1912"/>
      <c r="O231" s="1912"/>
      <c r="P231" s="1912"/>
      <c r="Q231" s="1912"/>
      <c r="R231" s="1912"/>
      <c r="S231" s="1912"/>
      <c r="T231" s="1912"/>
      <c r="U231" s="1912"/>
      <c r="V231" s="1912"/>
      <c r="W231" s="1912"/>
      <c r="X231" s="558"/>
    </row>
    <row r="232" spans="1:24" s="554" customFormat="1" ht="12">
      <c r="A232" s="553"/>
      <c r="B232" s="553"/>
      <c r="C232" s="553"/>
      <c r="D232" s="553"/>
      <c r="E232" s="553"/>
      <c r="F232" s="553"/>
      <c r="G232" s="1912"/>
      <c r="H232" s="1912"/>
      <c r="I232" s="1912"/>
      <c r="J232" s="1912"/>
      <c r="K232" s="1912"/>
      <c r="L232" s="1912"/>
      <c r="M232" s="1912"/>
      <c r="N232" s="1912"/>
      <c r="O232" s="1912"/>
      <c r="P232" s="1912"/>
      <c r="Q232" s="1912"/>
      <c r="R232" s="1912"/>
      <c r="S232" s="1912"/>
      <c r="T232" s="1912"/>
      <c r="U232" s="1912"/>
      <c r="V232" s="1912"/>
      <c r="W232" s="1912"/>
      <c r="X232" s="558"/>
    </row>
    <row r="233" spans="1:24" s="554" customFormat="1" ht="12">
      <c r="A233" s="553"/>
      <c r="B233" s="553" t="s">
        <v>551</v>
      </c>
      <c r="C233" s="553"/>
      <c r="D233" s="553"/>
      <c r="E233" s="553"/>
      <c r="F233" s="553"/>
      <c r="G233" s="559" t="s">
        <v>2429</v>
      </c>
      <c r="H233" s="1913" t="str">
        <f>cst_wskakunin_owner4_ZIP</f>
        <v/>
      </c>
      <c r="I233" s="1913"/>
      <c r="J233" s="1913"/>
      <c r="K233" s="1913"/>
      <c r="L233" s="1913"/>
      <c r="M233" s="1913"/>
      <c r="N233" s="1913"/>
      <c r="O233" s="1913"/>
      <c r="P233" s="1913"/>
      <c r="Q233" s="1913"/>
      <c r="R233" s="1913"/>
      <c r="S233" s="1913"/>
      <c r="T233" s="1913"/>
      <c r="U233" s="1913"/>
      <c r="V233" s="1913"/>
      <c r="W233" s="1913"/>
      <c r="X233" s="553"/>
    </row>
    <row r="234" spans="1:24" s="554" customFormat="1" ht="12">
      <c r="A234" s="553"/>
      <c r="B234" s="553" t="s">
        <v>3407</v>
      </c>
      <c r="C234" s="553"/>
      <c r="D234" s="553"/>
      <c r="E234" s="553"/>
      <c r="F234" s="553"/>
      <c r="G234" s="1912" t="str">
        <f>cst_wskakunin_owner4__address</f>
        <v/>
      </c>
      <c r="H234" s="1912"/>
      <c r="I234" s="1912"/>
      <c r="J234" s="1912"/>
      <c r="K234" s="1912"/>
      <c r="L234" s="1912"/>
      <c r="M234" s="1912"/>
      <c r="N234" s="1912"/>
      <c r="O234" s="1912"/>
      <c r="P234" s="1912"/>
      <c r="Q234" s="1912"/>
      <c r="R234" s="1912"/>
      <c r="S234" s="1912"/>
      <c r="T234" s="1912"/>
      <c r="U234" s="1912"/>
      <c r="V234" s="1912"/>
      <c r="W234" s="1912"/>
      <c r="X234" s="558"/>
    </row>
    <row r="235" spans="1:24" s="554" customFormat="1" ht="12">
      <c r="A235" s="553"/>
      <c r="B235" s="553"/>
      <c r="C235" s="553"/>
      <c r="D235" s="553"/>
      <c r="E235" s="553"/>
      <c r="F235" s="553"/>
      <c r="G235" s="1912"/>
      <c r="H235" s="1912"/>
      <c r="I235" s="1912"/>
      <c r="J235" s="1912"/>
      <c r="K235" s="1912"/>
      <c r="L235" s="1912"/>
      <c r="M235" s="1912"/>
      <c r="N235" s="1912"/>
      <c r="O235" s="1912"/>
      <c r="P235" s="1912"/>
      <c r="Q235" s="1912"/>
      <c r="R235" s="1912"/>
      <c r="S235" s="1912"/>
      <c r="T235" s="1912"/>
      <c r="U235" s="1912"/>
      <c r="V235" s="1912"/>
      <c r="W235" s="1912"/>
      <c r="X235" s="558"/>
    </row>
    <row r="236" spans="1:24" s="554" customFormat="1" ht="12">
      <c r="A236" s="553"/>
      <c r="B236" s="553" t="s">
        <v>555</v>
      </c>
      <c r="C236" s="553"/>
      <c r="D236" s="553"/>
      <c r="E236" s="553"/>
      <c r="F236" s="553"/>
      <c r="G236" s="1913" t="str">
        <f>cst_wskakunin_owner4_TEL</f>
        <v/>
      </c>
      <c r="H236" s="1913"/>
      <c r="I236" s="1913"/>
      <c r="J236" s="1913"/>
      <c r="K236" s="1913"/>
      <c r="L236" s="1913"/>
      <c r="M236" s="1913"/>
      <c r="N236" s="1913"/>
      <c r="O236" s="1913"/>
      <c r="P236" s="1913"/>
      <c r="Q236" s="1913"/>
      <c r="R236" s="1913"/>
      <c r="S236" s="1913"/>
      <c r="T236" s="1913"/>
      <c r="U236" s="1913"/>
      <c r="V236" s="1913"/>
      <c r="W236" s="1913"/>
      <c r="X236" s="558"/>
    </row>
    <row r="237" spans="1:24" s="554" customFormat="1" ht="12">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row>
    <row r="238" spans="1:24" s="554" customFormat="1" ht="12">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row>
    <row r="239" spans="1:24" s="554" customFormat="1" ht="12">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row>
    <row r="240" spans="1:24" s="554" customFormat="1" ht="12">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row>
    <row r="241" spans="1:24" s="554" customFormat="1" ht="12">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row>
    <row r="242" spans="1:24" s="554" customFormat="1" ht="12">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row>
    <row r="243" spans="1:24" s="554" customFormat="1" ht="12">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row>
    <row r="244" spans="1:24" s="554" customFormat="1" ht="12">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row>
    <row r="245" spans="1:24" s="554" customFormat="1" ht="12">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row>
    <row r="246" spans="1:24" s="554" customFormat="1" ht="12">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row>
    <row r="247" spans="1:24" s="554" customFormat="1" ht="12">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row>
    <row r="248" spans="1:24" s="554" customFormat="1" ht="12">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row>
    <row r="249" spans="1:24" s="554" customFormat="1" ht="12">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row>
    <row r="250" spans="1:24" s="554" customFormat="1" ht="12">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row>
    <row r="251" spans="1:24" s="554" customFormat="1" ht="12">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row>
    <row r="252" spans="1:24" s="554" customFormat="1" ht="12">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row>
    <row r="253" spans="1:24" s="554" customFormat="1" ht="12">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row>
    <row r="254" spans="1:24" s="554" customFormat="1" ht="12">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row>
    <row r="255" spans="1:24" s="554" customFormat="1" ht="12">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row>
    <row r="256" spans="1:24" s="554" customFormat="1" ht="12">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row>
    <row r="257" spans="1:41" s="554" customFormat="1" ht="12">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row>
    <row r="258" spans="1:41" s="554" customFormat="1" ht="12">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row>
    <row r="259" spans="1:41" s="554" customFormat="1" ht="12">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row>
    <row r="260" spans="1:41" s="554" customFormat="1" ht="12">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row>
    <row r="261" spans="1:41" s="554" customFormat="1" ht="12">
      <c r="A261" s="553"/>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row>
    <row r="262" spans="1:41" s="554" customFormat="1" ht="1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row>
    <row r="263" spans="1:41" s="557" customFormat="1" ht="13.5">
      <c r="A263" s="1904" t="s">
        <v>419</v>
      </c>
      <c r="B263" s="1904"/>
      <c r="C263" s="1904"/>
      <c r="D263" s="1904"/>
      <c r="E263" s="1904"/>
      <c r="F263" s="1904"/>
      <c r="G263" s="1904"/>
      <c r="H263" s="1904"/>
      <c r="I263" s="1904"/>
      <c r="J263" s="1904"/>
      <c r="K263" s="1904"/>
      <c r="L263" s="1904"/>
      <c r="M263" s="1904"/>
      <c r="N263" s="1904"/>
      <c r="O263" s="1904"/>
      <c r="P263" s="1904"/>
      <c r="Q263" s="1904"/>
      <c r="R263" s="1904"/>
      <c r="S263" s="1904"/>
      <c r="T263" s="1904"/>
      <c r="U263" s="1904"/>
      <c r="V263" s="1904"/>
      <c r="W263" s="1904"/>
      <c r="X263" s="1904"/>
      <c r="AB263" s="564"/>
      <c r="AH263" s="793" t="s">
        <v>3093</v>
      </c>
      <c r="AI263" s="793"/>
      <c r="AJ263" s="733"/>
      <c r="AK263" s="792"/>
      <c r="AL263" s="792"/>
      <c r="AM263" s="792"/>
      <c r="AN263" s="792"/>
      <c r="AO263" s="792"/>
    </row>
    <row r="264" spans="1:41" s="557" customFormat="1" ht="12">
      <c r="A264" s="792" t="s">
        <v>3427</v>
      </c>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AH264" s="794" t="s">
        <v>2845</v>
      </c>
      <c r="AI264" s="793"/>
      <c r="AJ264" s="795"/>
      <c r="AK264" s="792"/>
      <c r="AL264" s="792"/>
      <c r="AM264" s="792"/>
      <c r="AN264" s="792"/>
      <c r="AO264" s="792"/>
    </row>
    <row r="265" spans="1:41" s="554" customFormat="1" ht="30" customHeight="1">
      <c r="A265" s="563" t="s">
        <v>3428</v>
      </c>
      <c r="B265" s="563"/>
      <c r="C265" s="563"/>
      <c r="D265" s="563"/>
      <c r="E265" s="563"/>
      <c r="F265" s="563"/>
      <c r="G265" s="563"/>
      <c r="H265" s="563"/>
      <c r="I265" s="563"/>
      <c r="J265" s="563"/>
      <c r="K265" s="563"/>
      <c r="L265" s="563"/>
      <c r="M265" s="563"/>
      <c r="N265" s="563"/>
      <c r="O265" s="563"/>
      <c r="P265" s="563"/>
      <c r="Q265" s="563"/>
      <c r="R265" s="563"/>
      <c r="S265" s="563"/>
      <c r="T265" s="563"/>
      <c r="U265" s="563"/>
      <c r="V265" s="563"/>
      <c r="W265" s="563"/>
      <c r="X265" s="563"/>
      <c r="AH265" s="796" t="str">
        <f>HYPERLINK("#A1：X46")</f>
        <v>#A1：X46</v>
      </c>
      <c r="AI265" s="797" t="s">
        <v>2723</v>
      </c>
      <c r="AJ265" s="798"/>
      <c r="AK265" s="799"/>
      <c r="AL265" s="799"/>
      <c r="AM265" s="799"/>
      <c r="AN265" s="799"/>
      <c r="AO265" s="799"/>
    </row>
    <row r="266" spans="1:41" s="554" customFormat="1" ht="13.5">
      <c r="B266" s="553" t="s">
        <v>563</v>
      </c>
      <c r="C266" s="553"/>
      <c r="D266" s="553"/>
      <c r="E266" s="553"/>
      <c r="F266" s="1912" t="str">
        <f>cst_wskakunin_BUILD__address</f>
        <v/>
      </c>
      <c r="G266" s="1912"/>
      <c r="H266" s="1912"/>
      <c r="I266" s="1912"/>
      <c r="J266" s="1912"/>
      <c r="K266" s="1912"/>
      <c r="L266" s="1912"/>
      <c r="M266" s="1912"/>
      <c r="N266" s="1912"/>
      <c r="O266" s="1912"/>
      <c r="P266" s="1912"/>
      <c r="Q266" s="1912"/>
      <c r="R266" s="1912"/>
      <c r="S266" s="1912"/>
      <c r="T266" s="1912"/>
      <c r="U266" s="1912"/>
      <c r="V266" s="1912"/>
      <c r="W266" s="1912"/>
      <c r="X266" s="557"/>
      <c r="AH266" s="796" t="str">
        <f>HYPERLINK("#A47：X100")</f>
        <v>#A47：X100</v>
      </c>
      <c r="AI266" s="800" t="s">
        <v>2726</v>
      </c>
      <c r="AJ266" s="560"/>
      <c r="AK266" s="561"/>
      <c r="AL266" s="561"/>
      <c r="AM266" s="561"/>
      <c r="AN266" s="561"/>
      <c r="AO266" s="801"/>
    </row>
    <row r="267" spans="1:41" ht="13.5">
      <c r="F267" s="1912"/>
      <c r="G267" s="1912"/>
      <c r="H267" s="1912"/>
      <c r="I267" s="1912"/>
      <c r="J267" s="1912"/>
      <c r="K267" s="1912"/>
      <c r="L267" s="1912"/>
      <c r="M267" s="1912"/>
      <c r="N267" s="1912"/>
      <c r="O267" s="1912"/>
      <c r="P267" s="1912"/>
      <c r="Q267" s="1912"/>
      <c r="R267" s="1912"/>
      <c r="S267" s="1912"/>
      <c r="T267" s="1912"/>
      <c r="U267" s="1912"/>
      <c r="V267" s="1912"/>
      <c r="W267" s="1912"/>
      <c r="AH267" s="796" t="str">
        <f>HYPERLINK("#A101：X154")</f>
        <v>#A101：X154</v>
      </c>
      <c r="AI267" s="800" t="s">
        <v>3094</v>
      </c>
      <c r="AJ267" s="562"/>
      <c r="AK267" s="561"/>
      <c r="AL267" s="561"/>
      <c r="AM267" s="561"/>
      <c r="AN267" s="561"/>
      <c r="AO267" s="801"/>
    </row>
    <row r="268" spans="1:41" ht="13.5">
      <c r="F268" s="1912"/>
      <c r="G268" s="1912"/>
      <c r="H268" s="1912"/>
      <c r="I268" s="1912"/>
      <c r="J268" s="1912"/>
      <c r="K268" s="1912"/>
      <c r="L268" s="1912"/>
      <c r="M268" s="1912"/>
      <c r="N268" s="1912"/>
      <c r="O268" s="1912"/>
      <c r="P268" s="1912"/>
      <c r="Q268" s="1912"/>
      <c r="R268" s="1912"/>
      <c r="S268" s="1912"/>
      <c r="T268" s="1912"/>
      <c r="U268" s="1912"/>
      <c r="V268" s="1912"/>
      <c r="W268" s="1912"/>
      <c r="AH268" s="796" t="str">
        <f>HYPERLINK("#A155：X208")</f>
        <v>#A155：X208</v>
      </c>
      <c r="AI268" s="800" t="s">
        <v>3385</v>
      </c>
      <c r="AJ268" s="562"/>
      <c r="AK268" s="561"/>
      <c r="AL268" s="561"/>
      <c r="AM268" s="561"/>
      <c r="AN268" s="561"/>
      <c r="AO268" s="801"/>
    </row>
    <row r="269" spans="1:41" ht="13.5">
      <c r="B269" s="792" t="s">
        <v>564</v>
      </c>
      <c r="F269" s="1926" t="str">
        <f>cst_wskakunin_BUILD_JYUKYO__address</f>
        <v/>
      </c>
      <c r="G269" s="1926"/>
      <c r="H269" s="1926"/>
      <c r="I269" s="1926"/>
      <c r="J269" s="1926"/>
      <c r="K269" s="1926"/>
      <c r="L269" s="1926"/>
      <c r="M269" s="1926"/>
      <c r="N269" s="1926"/>
      <c r="O269" s="1926"/>
      <c r="P269" s="1926"/>
      <c r="Q269" s="1926"/>
      <c r="R269" s="1926"/>
      <c r="S269" s="1926"/>
      <c r="T269" s="1926"/>
      <c r="U269" s="1926"/>
      <c r="V269" s="1926"/>
      <c r="W269" s="1926"/>
      <c r="AH269" s="796" t="str">
        <f>HYPERLINK("#A209：X262")</f>
        <v>#A209：X262</v>
      </c>
      <c r="AI269" s="800" t="s">
        <v>3098</v>
      </c>
      <c r="AJ269" s="560"/>
      <c r="AK269" s="561"/>
      <c r="AL269" s="561"/>
      <c r="AM269" s="561"/>
      <c r="AN269" s="561"/>
      <c r="AO269" s="801"/>
    </row>
    <row r="270" spans="1:41" ht="13.5">
      <c r="AH270" s="796" t="str">
        <f>HYPERLINK("#A263：X305")</f>
        <v>#A263：X305</v>
      </c>
      <c r="AI270" s="800" t="s">
        <v>3095</v>
      </c>
      <c r="AJ270" s="562"/>
      <c r="AK270" s="561"/>
      <c r="AL270" s="561"/>
      <c r="AM270" s="561"/>
      <c r="AN270" s="561"/>
      <c r="AO270" s="801"/>
    </row>
    <row r="271" spans="1:41" ht="30" customHeight="1">
      <c r="A271" s="804" t="s">
        <v>651</v>
      </c>
      <c r="B271" s="804"/>
      <c r="C271" s="804"/>
      <c r="D271" s="804"/>
      <c r="E271" s="804"/>
      <c r="F271" s="804"/>
      <c r="G271" s="804"/>
      <c r="H271" s="804"/>
      <c r="I271" s="804"/>
      <c r="J271" s="804"/>
      <c r="K271" s="804"/>
      <c r="L271" s="804"/>
      <c r="M271" s="804"/>
      <c r="N271" s="804"/>
      <c r="O271" s="804"/>
      <c r="P271" s="804"/>
      <c r="Q271" s="804"/>
      <c r="R271" s="804"/>
      <c r="S271" s="804"/>
      <c r="T271" s="804"/>
      <c r="U271" s="804"/>
      <c r="V271" s="804"/>
      <c r="W271" s="804"/>
      <c r="X271" s="804"/>
      <c r="AH271" s="796" t="str">
        <f>HYPERLINK("#A306：X359")</f>
        <v>#A306：X359</v>
      </c>
      <c r="AI271" s="800" t="s">
        <v>3096</v>
      </c>
      <c r="AJ271" s="801"/>
      <c r="AK271" s="801"/>
      <c r="AL271" s="801"/>
      <c r="AM271" s="801"/>
      <c r="AN271" s="801"/>
      <c r="AO271" s="801"/>
    </row>
    <row r="272" spans="1:41" ht="13.5">
      <c r="B272" s="792" t="s">
        <v>3429</v>
      </c>
      <c r="AH272" s="796" t="str">
        <f>HYPERLINK("#A360：X413")</f>
        <v>#A360：X413</v>
      </c>
      <c r="AI272" s="800" t="s">
        <v>3387</v>
      </c>
      <c r="AJ272" s="801"/>
      <c r="AK272" s="801"/>
      <c r="AL272" s="801"/>
      <c r="AM272" s="801"/>
      <c r="AN272" s="801"/>
      <c r="AO272" s="801"/>
    </row>
    <row r="273" spans="1:24" s="794" customFormat="1" ht="12">
      <c r="C273" s="794" t="s">
        <v>374</v>
      </c>
      <c r="D273" s="825" t="str">
        <f>cst_wskakunin_p4_1_TOKUREI</f>
        <v/>
      </c>
      <c r="E273" s="794" t="s">
        <v>375</v>
      </c>
    </row>
    <row r="274" spans="1:24" ht="12">
      <c r="B274" s="792" t="s">
        <v>3430</v>
      </c>
      <c r="G274" s="826" t="str">
        <f>cst_wskakunin_KOUJI_SINTIKU_box</f>
        <v>□</v>
      </c>
      <c r="H274" s="792" t="s">
        <v>47</v>
      </c>
      <c r="J274" s="826" t="str">
        <f>cst_wskakunin_KOUJI_ZOUTIKU_box</f>
        <v>□</v>
      </c>
      <c r="K274" s="792" t="s">
        <v>368</v>
      </c>
      <c r="M274" s="826" t="str">
        <f>cst_wskakunin_KOUJI_KAITIKU_box</f>
        <v>□</v>
      </c>
      <c r="N274" s="792" t="s">
        <v>369</v>
      </c>
      <c r="P274" s="826" t="str">
        <f>cst_wskakunin_KOUJI_ITEN_box</f>
        <v>□</v>
      </c>
      <c r="Q274" s="792" t="s">
        <v>370</v>
      </c>
    </row>
    <row r="275" spans="1:24" ht="12">
      <c r="G275" s="826" t="str">
        <f>cst_wskakunin_KOUJI_DAI_SYUUZEN_box</f>
        <v>□</v>
      </c>
      <c r="H275" s="792" t="s">
        <v>1066</v>
      </c>
      <c r="L275" s="826" t="str">
        <f>cst_wskakunin_KOUJI_DAI_MOYOUGAE_box</f>
        <v>□</v>
      </c>
      <c r="M275" s="792" t="s">
        <v>1068</v>
      </c>
      <c r="R275" s="826" t="str">
        <f>cst_wskakunin_KOUJI_SETUBI_box</f>
        <v>□</v>
      </c>
      <c r="S275" s="792" t="s">
        <v>1070</v>
      </c>
    </row>
    <row r="276" spans="1:24" ht="12">
      <c r="B276" s="792" t="s">
        <v>3431</v>
      </c>
    </row>
    <row r="277" spans="1:24" ht="12">
      <c r="C277" s="1927" t="str">
        <f>cst_wskakunin_KENTIKU_NINSYO_NO</f>
        <v/>
      </c>
      <c r="D277" s="1927"/>
      <c r="E277" s="1927"/>
      <c r="F277" s="1927"/>
      <c r="G277" s="1927"/>
      <c r="H277" s="1927"/>
      <c r="I277" s="1927"/>
      <c r="J277" s="1927"/>
      <c r="K277" s="1927"/>
      <c r="L277" s="1927"/>
      <c r="M277" s="1927"/>
      <c r="N277" s="1927"/>
      <c r="O277" s="1927"/>
      <c r="P277" s="1927"/>
      <c r="Q277" s="1927"/>
      <c r="R277" s="1927"/>
      <c r="S277" s="1927"/>
      <c r="T277" s="1927"/>
      <c r="U277" s="1927"/>
      <c r="V277" s="1927"/>
      <c r="W277" s="1927"/>
    </row>
    <row r="279" spans="1:24" ht="30" customHeight="1">
      <c r="A279" s="801" t="s">
        <v>3432</v>
      </c>
      <c r="B279" s="801"/>
      <c r="C279" s="801"/>
      <c r="D279" s="801"/>
      <c r="E279" s="801"/>
      <c r="F279" s="801"/>
      <c r="G279" s="801"/>
      <c r="H279" s="801"/>
      <c r="I279" s="827" t="s">
        <v>374</v>
      </c>
      <c r="J279" s="1928" t="str">
        <f>IF(目次・入力シート!$BK$31="","「目次･入力シート」に入力してください",目次・入力シート!$BK$31)</f>
        <v>「目次･入力シート」に入力してください</v>
      </c>
      <c r="K279" s="1928"/>
      <c r="L279" s="1928"/>
      <c r="M279" s="1928"/>
      <c r="N279" s="1928"/>
      <c r="O279" s="828" t="s">
        <v>375</v>
      </c>
      <c r="P279" s="828"/>
      <c r="Q279" s="829"/>
      <c r="R279" s="829"/>
      <c r="S279" s="829"/>
      <c r="T279" s="829"/>
      <c r="U279" s="829"/>
      <c r="V279" s="829"/>
      <c r="W279" s="829"/>
      <c r="X279" s="829"/>
    </row>
    <row r="280" spans="1:24" ht="30" customHeight="1">
      <c r="A280" s="801" t="s">
        <v>3433</v>
      </c>
      <c r="B280" s="801"/>
      <c r="C280" s="801"/>
      <c r="D280" s="801"/>
      <c r="E280" s="801"/>
      <c r="F280" s="801"/>
      <c r="G280" s="801"/>
      <c r="H280" s="801"/>
      <c r="I280" s="1929" t="str">
        <f>IF(目次・入力シート!$BJ$33="","「目次･入力シート」に入力してください",目次・入力シート!$BJ$33)</f>
        <v>「目次･入力シート」に入力してください</v>
      </c>
      <c r="J280" s="1929"/>
      <c r="K280" s="1929"/>
      <c r="L280" s="1929"/>
      <c r="M280" s="1929"/>
      <c r="N280" s="1929"/>
      <c r="O280" s="1929"/>
      <c r="P280" s="829"/>
      <c r="Q280" s="829"/>
      <c r="R280" s="829"/>
      <c r="S280" s="829"/>
      <c r="T280" s="829"/>
      <c r="U280" s="829"/>
      <c r="V280" s="829"/>
      <c r="W280" s="829"/>
      <c r="X280" s="829"/>
    </row>
    <row r="281" spans="1:24" ht="30" customHeight="1">
      <c r="A281" s="801" t="s">
        <v>3434</v>
      </c>
      <c r="B281" s="801"/>
      <c r="C281" s="801"/>
      <c r="D281" s="801"/>
      <c r="E281" s="801"/>
      <c r="F281" s="801"/>
      <c r="G281" s="801"/>
      <c r="H281" s="801"/>
      <c r="I281" s="1930" t="s">
        <v>3435</v>
      </c>
      <c r="J281" s="1930"/>
      <c r="K281" s="1930"/>
      <c r="L281" s="1930"/>
      <c r="M281" s="1930"/>
      <c r="N281" s="1930"/>
      <c r="O281" s="1930"/>
      <c r="P281" s="1930"/>
      <c r="Q281" s="1930"/>
      <c r="R281" s="1930"/>
      <c r="S281" s="1930"/>
      <c r="T281" s="1930"/>
      <c r="U281" s="1930"/>
      <c r="V281" s="1930"/>
      <c r="W281" s="1930"/>
      <c r="X281" s="1930"/>
    </row>
    <row r="282" spans="1:24" ht="30" customHeight="1">
      <c r="A282" s="801" t="s">
        <v>653</v>
      </c>
      <c r="B282" s="801"/>
      <c r="C282" s="801"/>
      <c r="D282" s="801"/>
      <c r="E282" s="801"/>
      <c r="F282" s="801"/>
      <c r="G282" s="801"/>
      <c r="H282" s="801"/>
      <c r="I282" s="1929" t="str">
        <f>IF(目次・入力シート!$BJ$25="","「目次･入力シート」に入力してください",目次・入力シート!$BJ$25)</f>
        <v>「目次･入力シート」に入力してください</v>
      </c>
      <c r="J282" s="1929"/>
      <c r="K282" s="1929"/>
      <c r="L282" s="1929"/>
      <c r="M282" s="1929"/>
      <c r="N282" s="1929"/>
      <c r="O282" s="1929"/>
      <c r="P282" s="801"/>
      <c r="Q282" s="801"/>
      <c r="R282" s="801"/>
      <c r="S282" s="801"/>
      <c r="T282" s="801"/>
      <c r="U282" s="801"/>
      <c r="V282" s="801"/>
      <c r="W282" s="801"/>
      <c r="X282" s="801"/>
    </row>
    <row r="283" spans="1:24" ht="30" customHeight="1">
      <c r="A283" s="801" t="s">
        <v>2668</v>
      </c>
      <c r="B283" s="801"/>
      <c r="C283" s="801"/>
      <c r="D283" s="801"/>
      <c r="E283" s="801"/>
      <c r="F283" s="801"/>
      <c r="G283" s="801"/>
      <c r="H283" s="801"/>
      <c r="I283" s="1929" t="str">
        <f>IF(目次・入力シート!$BJ$27="","「目次･入力シート」に入力してください",目次・入力シート!$BJ$27)</f>
        <v>「目次･入力シート」に入力してください</v>
      </c>
      <c r="J283" s="1929"/>
      <c r="K283" s="1929"/>
      <c r="L283" s="1929"/>
      <c r="M283" s="1929"/>
      <c r="N283" s="1929"/>
      <c r="O283" s="1929"/>
      <c r="P283" s="801"/>
      <c r="Q283" s="801"/>
      <c r="R283" s="801"/>
      <c r="S283" s="801"/>
      <c r="T283" s="801"/>
      <c r="U283" s="801"/>
      <c r="V283" s="801"/>
      <c r="W283" s="801"/>
      <c r="X283" s="801"/>
    </row>
    <row r="284" spans="1:24" ht="30" customHeight="1">
      <c r="A284" s="801" t="s">
        <v>3436</v>
      </c>
      <c r="B284" s="801"/>
      <c r="C284" s="801"/>
      <c r="D284" s="801"/>
      <c r="E284" s="801"/>
      <c r="F284" s="801"/>
      <c r="G284" s="801"/>
      <c r="H284" s="801"/>
      <c r="I284" s="1933" t="str">
        <f ca="1">cst_wskakunin_KENSA_YUKA_MENSEKI_select</f>
        <v/>
      </c>
      <c r="J284" s="1933"/>
      <c r="K284" s="1933"/>
      <c r="L284" s="1933"/>
      <c r="M284" s="830" t="s">
        <v>3146</v>
      </c>
      <c r="N284" s="801"/>
      <c r="O284" s="801"/>
      <c r="P284" s="801"/>
      <c r="Q284" s="801"/>
      <c r="R284" s="801"/>
      <c r="S284" s="801"/>
      <c r="T284" s="801"/>
      <c r="U284" s="801"/>
      <c r="V284" s="801"/>
      <c r="W284" s="801"/>
      <c r="X284" s="801"/>
    </row>
    <row r="285" spans="1:24" ht="30" customHeight="1">
      <c r="A285" s="792" t="s">
        <v>2345</v>
      </c>
      <c r="K285" s="792" t="s">
        <v>3437</v>
      </c>
      <c r="P285" s="792" t="s">
        <v>3438</v>
      </c>
      <c r="Q285" s="792" t="s">
        <v>3437</v>
      </c>
      <c r="V285" s="792" t="s">
        <v>3438</v>
      </c>
    </row>
    <row r="286" spans="1:24" ht="12">
      <c r="B286" s="792" t="s">
        <v>565</v>
      </c>
      <c r="K286" s="794" t="s">
        <v>401</v>
      </c>
      <c r="L286" s="1931"/>
      <c r="M286" s="1931"/>
      <c r="N286" s="1931"/>
      <c r="O286" s="1931"/>
      <c r="P286" s="794" t="s">
        <v>6</v>
      </c>
      <c r="Q286" s="794" t="s">
        <v>401</v>
      </c>
      <c r="R286" s="1931"/>
      <c r="S286" s="1931"/>
      <c r="T286" s="1931"/>
      <c r="U286" s="1931"/>
      <c r="V286" s="794" t="s">
        <v>6</v>
      </c>
    </row>
    <row r="287" spans="1:24" ht="12">
      <c r="B287" s="792" t="s">
        <v>658</v>
      </c>
      <c r="K287" s="794" t="s">
        <v>401</v>
      </c>
      <c r="L287" s="1931"/>
      <c r="M287" s="1931"/>
      <c r="N287" s="1931"/>
      <c r="O287" s="1931"/>
      <c r="P287" s="794" t="s">
        <v>6</v>
      </c>
      <c r="Q287" s="794" t="s">
        <v>401</v>
      </c>
      <c r="R287" s="1931"/>
      <c r="S287" s="1931"/>
      <c r="T287" s="1931"/>
      <c r="U287" s="1931"/>
      <c r="V287" s="794" t="s">
        <v>6</v>
      </c>
    </row>
    <row r="288" spans="1:24" ht="12">
      <c r="B288" s="792" t="s">
        <v>659</v>
      </c>
      <c r="K288" s="794" t="s">
        <v>401</v>
      </c>
      <c r="L288" s="1931"/>
      <c r="M288" s="1931"/>
      <c r="N288" s="1931"/>
      <c r="O288" s="1931"/>
      <c r="P288" s="794" t="s">
        <v>6</v>
      </c>
      <c r="Q288" s="794" t="s">
        <v>401</v>
      </c>
      <c r="R288" s="1931"/>
      <c r="S288" s="1931"/>
      <c r="T288" s="1931"/>
      <c r="U288" s="1931"/>
      <c r="V288" s="794" t="s">
        <v>6</v>
      </c>
    </row>
    <row r="289" spans="1:24" ht="12">
      <c r="B289" s="792" t="s">
        <v>660</v>
      </c>
      <c r="K289" s="794" t="s">
        <v>401</v>
      </c>
      <c r="L289" s="1931"/>
      <c r="M289" s="1931"/>
      <c r="N289" s="1931"/>
      <c r="O289" s="1931"/>
      <c r="P289" s="794" t="s">
        <v>6</v>
      </c>
      <c r="Q289" s="794" t="s">
        <v>401</v>
      </c>
      <c r="R289" s="1931"/>
      <c r="S289" s="1931"/>
      <c r="T289" s="1931"/>
      <c r="U289" s="1931"/>
      <c r="V289" s="794" t="s">
        <v>6</v>
      </c>
    </row>
    <row r="290" spans="1:24" ht="12">
      <c r="K290" s="794"/>
      <c r="L290" s="794"/>
      <c r="M290" s="794"/>
      <c r="N290" s="794"/>
      <c r="O290" s="794"/>
      <c r="P290" s="794"/>
      <c r="Q290" s="794"/>
      <c r="R290" s="794"/>
      <c r="S290" s="794"/>
      <c r="T290" s="794"/>
      <c r="U290" s="794"/>
      <c r="V290" s="794"/>
    </row>
    <row r="291" spans="1:24" ht="30" customHeight="1">
      <c r="A291" s="804" t="s">
        <v>3439</v>
      </c>
      <c r="B291" s="804"/>
      <c r="C291" s="804"/>
      <c r="D291" s="804"/>
      <c r="E291" s="804"/>
      <c r="F291" s="804"/>
      <c r="G291" s="804"/>
      <c r="H291" s="804"/>
      <c r="I291" s="804"/>
      <c r="J291" s="804"/>
      <c r="K291" s="804"/>
      <c r="L291" s="804"/>
      <c r="M291" s="804"/>
      <c r="N291" s="804"/>
      <c r="O291" s="804"/>
      <c r="P291" s="804"/>
      <c r="Q291" s="804"/>
      <c r="R291" s="804"/>
      <c r="S291" s="804"/>
      <c r="T291" s="804"/>
      <c r="U291" s="804"/>
      <c r="V291" s="804"/>
      <c r="W291" s="804"/>
      <c r="X291" s="804"/>
    </row>
    <row r="292" spans="1:24" ht="12">
      <c r="B292" s="1902" t="s">
        <v>566</v>
      </c>
      <c r="C292" s="1902"/>
      <c r="D292" s="1902"/>
      <c r="E292" s="1902"/>
      <c r="F292" s="1902"/>
      <c r="G292" s="1902"/>
      <c r="H292" s="1902"/>
      <c r="I292" s="1902"/>
      <c r="J292" s="1902"/>
      <c r="K292" s="1932"/>
      <c r="L292" s="1932"/>
      <c r="M292" s="1932"/>
      <c r="N292" s="1932"/>
      <c r="O292" s="1932"/>
      <c r="P292" s="1932"/>
      <c r="Q292" s="1932"/>
      <c r="R292" s="1932"/>
      <c r="S292" s="1932"/>
      <c r="T292" s="1932"/>
      <c r="U292" s="1932"/>
      <c r="V292" s="1932"/>
      <c r="W292" s="1932"/>
      <c r="X292" s="1932"/>
    </row>
    <row r="293" spans="1:24" ht="12">
      <c r="B293" s="1902" t="s">
        <v>567</v>
      </c>
      <c r="C293" s="1902"/>
      <c r="D293" s="1902"/>
      <c r="E293" s="1902"/>
      <c r="F293" s="1902"/>
      <c r="G293" s="1934"/>
      <c r="H293" s="1934"/>
      <c r="I293" s="1934"/>
      <c r="J293" s="1934"/>
      <c r="K293" s="1934"/>
      <c r="L293" s="1934"/>
      <c r="M293" s="1934"/>
      <c r="N293" s="1934"/>
      <c r="O293" s="1934"/>
      <c r="P293" s="1934"/>
      <c r="Q293" s="1934"/>
      <c r="R293" s="1934"/>
      <c r="S293" s="1934"/>
      <c r="T293" s="1934"/>
      <c r="U293" s="1934"/>
      <c r="V293" s="1934"/>
      <c r="W293" s="1934"/>
      <c r="X293" s="1934"/>
    </row>
    <row r="294" spans="1:24" ht="12">
      <c r="G294" s="1934"/>
      <c r="H294" s="1934"/>
      <c r="I294" s="1934"/>
      <c r="J294" s="1934"/>
      <c r="K294" s="1934"/>
      <c r="L294" s="1934"/>
      <c r="M294" s="1934"/>
      <c r="N294" s="1934"/>
      <c r="O294" s="1934"/>
      <c r="P294" s="1934"/>
      <c r="Q294" s="1934"/>
      <c r="R294" s="1934"/>
      <c r="S294" s="1934"/>
      <c r="T294" s="1934"/>
      <c r="U294" s="1934"/>
      <c r="V294" s="1934"/>
      <c r="W294" s="1934"/>
      <c r="X294" s="1934"/>
    </row>
    <row r="295" spans="1:24" ht="12">
      <c r="G295" s="1934"/>
      <c r="H295" s="1934"/>
      <c r="I295" s="1934"/>
      <c r="J295" s="1934"/>
      <c r="K295" s="1934"/>
      <c r="L295" s="1934"/>
      <c r="M295" s="1934"/>
      <c r="N295" s="1934"/>
      <c r="O295" s="1934"/>
      <c r="P295" s="1934"/>
      <c r="Q295" s="1934"/>
      <c r="R295" s="1934"/>
      <c r="S295" s="1934"/>
      <c r="T295" s="1934"/>
      <c r="U295" s="1934"/>
      <c r="V295" s="1934"/>
      <c r="W295" s="1934"/>
      <c r="X295" s="1934"/>
    </row>
    <row r="296" spans="1:24" ht="12">
      <c r="G296" s="1934"/>
      <c r="H296" s="1934"/>
      <c r="I296" s="1934"/>
      <c r="J296" s="1934"/>
      <c r="K296" s="1934"/>
      <c r="L296" s="1934"/>
      <c r="M296" s="1934"/>
      <c r="N296" s="1934"/>
      <c r="O296" s="1934"/>
      <c r="P296" s="1934"/>
      <c r="Q296" s="1934"/>
      <c r="R296" s="1934"/>
      <c r="S296" s="1934"/>
      <c r="T296" s="1934"/>
      <c r="U296" s="1934"/>
      <c r="V296" s="1934"/>
      <c r="W296" s="1934"/>
      <c r="X296" s="1934"/>
    </row>
    <row r="297" spans="1:24" ht="12">
      <c r="G297" s="1934"/>
      <c r="H297" s="1934"/>
      <c r="I297" s="1934"/>
      <c r="J297" s="1934"/>
      <c r="K297" s="1934"/>
      <c r="L297" s="1934"/>
      <c r="M297" s="1934"/>
      <c r="N297" s="1934"/>
      <c r="O297" s="1934"/>
      <c r="P297" s="1934"/>
      <c r="Q297" s="1934"/>
      <c r="R297" s="1934"/>
      <c r="S297" s="1934"/>
      <c r="T297" s="1934"/>
      <c r="U297" s="1934"/>
      <c r="V297" s="1934"/>
      <c r="W297" s="1934"/>
      <c r="X297" s="1934"/>
    </row>
    <row r="298" spans="1:24" ht="12">
      <c r="G298" s="1934"/>
      <c r="H298" s="1934"/>
      <c r="I298" s="1934"/>
      <c r="J298" s="1934"/>
      <c r="K298" s="1934"/>
      <c r="L298" s="1934"/>
      <c r="M298" s="1934"/>
      <c r="N298" s="1934"/>
      <c r="O298" s="1934"/>
      <c r="P298" s="1934"/>
      <c r="Q298" s="1934"/>
      <c r="R298" s="1934"/>
      <c r="S298" s="1934"/>
      <c r="T298" s="1934"/>
      <c r="U298" s="1934"/>
      <c r="V298" s="1934"/>
      <c r="W298" s="1934"/>
      <c r="X298" s="1934"/>
    </row>
    <row r="300" spans="1:24" ht="30" customHeight="1">
      <c r="A300" s="801" t="s">
        <v>3440</v>
      </c>
      <c r="B300" s="801"/>
      <c r="C300" s="801"/>
      <c r="D300" s="801"/>
      <c r="E300" s="801"/>
      <c r="F300" s="801"/>
      <c r="G300" s="801"/>
      <c r="H300" s="801"/>
      <c r="I300" s="801"/>
      <c r="J300" s="801"/>
      <c r="K300" s="801"/>
      <c r="L300" s="801"/>
      <c r="M300" s="801"/>
      <c r="N300" s="801"/>
      <c r="O300" s="801"/>
      <c r="P300" s="801"/>
      <c r="Q300" s="801"/>
      <c r="R300" s="801"/>
      <c r="S300" s="801"/>
      <c r="T300" s="801"/>
      <c r="U300" s="801"/>
      <c r="V300" s="801"/>
      <c r="W300" s="801"/>
      <c r="X300" s="801"/>
    </row>
    <row r="306" spans="1:41" ht="13.5">
      <c r="A306" s="1919" t="s">
        <v>3156</v>
      </c>
      <c r="B306" s="1919"/>
      <c r="C306" s="1919"/>
      <c r="D306" s="1919"/>
      <c r="E306" s="1919"/>
      <c r="F306" s="1919"/>
      <c r="G306" s="1919"/>
      <c r="H306" s="1919"/>
      <c r="I306" s="1919"/>
      <c r="J306" s="1919"/>
      <c r="K306" s="1919"/>
      <c r="L306" s="1919"/>
      <c r="M306" s="1919"/>
      <c r="N306" s="1919"/>
      <c r="O306" s="1919"/>
      <c r="P306" s="1919"/>
      <c r="Q306" s="1919"/>
      <c r="R306" s="1919"/>
      <c r="S306" s="1919"/>
      <c r="T306" s="1919"/>
      <c r="U306" s="1919"/>
      <c r="V306" s="1919"/>
      <c r="W306" s="1919"/>
      <c r="X306" s="1919"/>
      <c r="AH306" s="793" t="s">
        <v>3093</v>
      </c>
      <c r="AI306" s="793"/>
      <c r="AJ306" s="733"/>
    </row>
    <row r="307" spans="1:41" ht="12">
      <c r="A307" s="831" t="s">
        <v>3441</v>
      </c>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AH307" s="794" t="s">
        <v>2845</v>
      </c>
      <c r="AI307" s="793"/>
      <c r="AJ307" s="795"/>
    </row>
    <row r="308" spans="1:41" s="832" customFormat="1" ht="13.5">
      <c r="A308" s="1935"/>
      <c r="B308" s="1935"/>
      <c r="C308" s="1935"/>
      <c r="D308" s="1935"/>
      <c r="E308" s="1936" t="s">
        <v>3442</v>
      </c>
      <c r="F308" s="1936"/>
      <c r="G308" s="1936"/>
      <c r="H308" s="1936" t="s">
        <v>568</v>
      </c>
      <c r="I308" s="1936"/>
      <c r="J308" s="1936"/>
      <c r="K308" s="1936"/>
      <c r="L308" s="1936" t="s">
        <v>3443</v>
      </c>
      <c r="M308" s="1936"/>
      <c r="N308" s="1936"/>
      <c r="O308" s="1936" t="s">
        <v>569</v>
      </c>
      <c r="P308" s="1936"/>
      <c r="Q308" s="1936"/>
      <c r="R308" s="1936" t="s">
        <v>570</v>
      </c>
      <c r="S308" s="1936"/>
      <c r="T308" s="1936"/>
      <c r="U308" s="1937" t="s">
        <v>3444</v>
      </c>
      <c r="V308" s="1938"/>
      <c r="W308" s="1938"/>
      <c r="X308" s="1939"/>
      <c r="AH308" s="796" t="str">
        <f>HYPERLINK("#A1：X46")</f>
        <v>#A1：X46</v>
      </c>
      <c r="AI308" s="797" t="s">
        <v>2723</v>
      </c>
      <c r="AJ308" s="798"/>
      <c r="AK308" s="799"/>
      <c r="AL308" s="799"/>
      <c r="AM308" s="799"/>
      <c r="AN308" s="799"/>
      <c r="AO308" s="799"/>
    </row>
    <row r="309" spans="1:41" s="832" customFormat="1" ht="13.5">
      <c r="A309" s="1935"/>
      <c r="B309" s="1935"/>
      <c r="C309" s="1935"/>
      <c r="D309" s="1935"/>
      <c r="E309" s="1936"/>
      <c r="F309" s="1936"/>
      <c r="G309" s="1936"/>
      <c r="H309" s="1936"/>
      <c r="I309" s="1936"/>
      <c r="J309" s="1936"/>
      <c r="K309" s="1936"/>
      <c r="L309" s="1936"/>
      <c r="M309" s="1936"/>
      <c r="N309" s="1936"/>
      <c r="O309" s="1936"/>
      <c r="P309" s="1936"/>
      <c r="Q309" s="1936"/>
      <c r="R309" s="1936"/>
      <c r="S309" s="1936"/>
      <c r="T309" s="1936"/>
      <c r="U309" s="1940"/>
      <c r="V309" s="1941"/>
      <c r="W309" s="1941"/>
      <c r="X309" s="1942"/>
      <c r="AH309" s="796" t="str">
        <f>HYPERLINK("#A47：X100")</f>
        <v>#A47：X100</v>
      </c>
      <c r="AI309" s="800" t="s">
        <v>2726</v>
      </c>
      <c r="AJ309" s="560"/>
      <c r="AK309" s="561"/>
      <c r="AL309" s="561"/>
      <c r="AM309" s="561"/>
      <c r="AN309" s="561"/>
      <c r="AO309" s="801"/>
    </row>
    <row r="310" spans="1:41" s="832" customFormat="1" ht="13.5">
      <c r="A310" s="1935"/>
      <c r="B310" s="1935"/>
      <c r="C310" s="1935"/>
      <c r="D310" s="1935"/>
      <c r="E310" s="1936"/>
      <c r="F310" s="1936"/>
      <c r="G310" s="1936"/>
      <c r="H310" s="1936"/>
      <c r="I310" s="1936"/>
      <c r="J310" s="1936"/>
      <c r="K310" s="1936"/>
      <c r="L310" s="1936"/>
      <c r="M310" s="1936"/>
      <c r="N310" s="1936"/>
      <c r="O310" s="1936"/>
      <c r="P310" s="1936"/>
      <c r="Q310" s="1936"/>
      <c r="R310" s="1936"/>
      <c r="S310" s="1936"/>
      <c r="T310" s="1936"/>
      <c r="U310" s="1943"/>
      <c r="V310" s="1944"/>
      <c r="W310" s="1944"/>
      <c r="X310" s="1945"/>
      <c r="AH310" s="796" t="str">
        <f>HYPERLINK("#A101：X154")</f>
        <v>#A101：X154</v>
      </c>
      <c r="AI310" s="800" t="s">
        <v>3094</v>
      </c>
      <c r="AJ310" s="562"/>
      <c r="AK310" s="561"/>
      <c r="AL310" s="561"/>
      <c r="AM310" s="561"/>
      <c r="AN310" s="561"/>
      <c r="AO310" s="801"/>
    </row>
    <row r="311" spans="1:41" s="832" customFormat="1" ht="13.5">
      <c r="A311" s="1946" t="s">
        <v>3445</v>
      </c>
      <c r="B311" s="1946"/>
      <c r="C311" s="1946"/>
      <c r="D311" s="1946"/>
      <c r="E311" s="1947"/>
      <c r="F311" s="1947"/>
      <c r="G311" s="1947"/>
      <c r="H311" s="1947"/>
      <c r="I311" s="1947"/>
      <c r="J311" s="1947"/>
      <c r="K311" s="1947"/>
      <c r="L311" s="1947"/>
      <c r="M311" s="1947"/>
      <c r="N311" s="1947"/>
      <c r="O311" s="1947"/>
      <c r="P311" s="1947"/>
      <c r="Q311" s="1947"/>
      <c r="R311" s="1947"/>
      <c r="S311" s="1947"/>
      <c r="T311" s="1947"/>
      <c r="U311" s="833"/>
      <c r="V311" s="834" t="s">
        <v>3446</v>
      </c>
      <c r="W311" s="835"/>
      <c r="X311" s="836" t="s">
        <v>416</v>
      </c>
      <c r="AH311" s="796" t="str">
        <f>HYPERLINK("#A155：X208")</f>
        <v>#A155：X208</v>
      </c>
      <c r="AI311" s="800" t="s">
        <v>3385</v>
      </c>
      <c r="AJ311" s="562"/>
      <c r="AK311" s="561"/>
      <c r="AL311" s="561"/>
      <c r="AM311" s="561"/>
      <c r="AN311" s="561"/>
      <c r="AO311" s="801"/>
    </row>
    <row r="312" spans="1:41" s="832" customFormat="1" ht="13.5">
      <c r="A312" s="1946"/>
      <c r="B312" s="1946"/>
      <c r="C312" s="1946"/>
      <c r="D312" s="1946"/>
      <c r="E312" s="1947"/>
      <c r="F312" s="1947"/>
      <c r="G312" s="1947"/>
      <c r="H312" s="1947"/>
      <c r="I312" s="1947"/>
      <c r="J312" s="1947"/>
      <c r="K312" s="1947"/>
      <c r="L312" s="1947"/>
      <c r="M312" s="1947"/>
      <c r="N312" s="1947"/>
      <c r="O312" s="1947"/>
      <c r="P312" s="1947"/>
      <c r="Q312" s="1947"/>
      <c r="R312" s="1947"/>
      <c r="S312" s="1947"/>
      <c r="T312" s="1947"/>
      <c r="U312" s="837"/>
      <c r="V312" s="838"/>
      <c r="W312" s="838"/>
      <c r="X312" s="839"/>
      <c r="AH312" s="796" t="str">
        <f>HYPERLINK("#A209：X262")</f>
        <v>#A209：X262</v>
      </c>
      <c r="AI312" s="800" t="s">
        <v>3098</v>
      </c>
      <c r="AJ312" s="560"/>
      <c r="AK312" s="561"/>
      <c r="AL312" s="561"/>
      <c r="AM312" s="561"/>
      <c r="AN312" s="561"/>
      <c r="AO312" s="801"/>
    </row>
    <row r="313" spans="1:41" s="832" customFormat="1" ht="13.5">
      <c r="A313" s="1946"/>
      <c r="B313" s="1946"/>
      <c r="C313" s="1946"/>
      <c r="D313" s="1946"/>
      <c r="E313" s="1947"/>
      <c r="F313" s="1947"/>
      <c r="G313" s="1947"/>
      <c r="H313" s="1947"/>
      <c r="I313" s="1947"/>
      <c r="J313" s="1947"/>
      <c r="K313" s="1947"/>
      <c r="L313" s="1947"/>
      <c r="M313" s="1947"/>
      <c r="N313" s="1947"/>
      <c r="O313" s="1947"/>
      <c r="P313" s="1947"/>
      <c r="Q313" s="1947"/>
      <c r="R313" s="1947"/>
      <c r="S313" s="1947"/>
      <c r="T313" s="1947"/>
      <c r="U313" s="840"/>
      <c r="V313" s="841"/>
      <c r="W313" s="841"/>
      <c r="X313" s="842"/>
      <c r="AH313" s="796" t="str">
        <f>HYPERLINK("#A263：X305")</f>
        <v>#A263：X305</v>
      </c>
      <c r="AI313" s="800" t="s">
        <v>3095</v>
      </c>
      <c r="AJ313" s="562"/>
      <c r="AK313" s="561"/>
      <c r="AL313" s="561"/>
      <c r="AM313" s="561"/>
      <c r="AN313" s="561"/>
      <c r="AO313" s="801"/>
    </row>
    <row r="314" spans="1:41" s="832" customFormat="1" ht="13.5">
      <c r="A314" s="1946" t="s">
        <v>3447</v>
      </c>
      <c r="B314" s="1946"/>
      <c r="C314" s="1946"/>
      <c r="D314" s="1946"/>
      <c r="E314" s="1947"/>
      <c r="F314" s="1947"/>
      <c r="G314" s="1947"/>
      <c r="H314" s="1947"/>
      <c r="I314" s="1947"/>
      <c r="J314" s="1947"/>
      <c r="K314" s="1947"/>
      <c r="L314" s="1947"/>
      <c r="M314" s="1947"/>
      <c r="N314" s="1947"/>
      <c r="O314" s="1947"/>
      <c r="P314" s="1947"/>
      <c r="Q314" s="1947"/>
      <c r="R314" s="1947"/>
      <c r="S314" s="1947"/>
      <c r="T314" s="1947"/>
      <c r="U314" s="833"/>
      <c r="V314" s="834" t="s">
        <v>3446</v>
      </c>
      <c r="W314" s="835"/>
      <c r="X314" s="843" t="s">
        <v>416</v>
      </c>
      <c r="AH314" s="796" t="str">
        <f>HYPERLINK("#A306：X359")</f>
        <v>#A306：X359</v>
      </c>
      <c r="AI314" s="800" t="s">
        <v>3096</v>
      </c>
      <c r="AJ314" s="801"/>
      <c r="AK314" s="801"/>
      <c r="AL314" s="801"/>
      <c r="AM314" s="801"/>
      <c r="AN314" s="801"/>
      <c r="AO314" s="801"/>
    </row>
    <row r="315" spans="1:41" s="832" customFormat="1" ht="13.5">
      <c r="A315" s="1946"/>
      <c r="B315" s="1946"/>
      <c r="C315" s="1946"/>
      <c r="D315" s="1946"/>
      <c r="E315" s="1947"/>
      <c r="F315" s="1947"/>
      <c r="G315" s="1947"/>
      <c r="H315" s="1947"/>
      <c r="I315" s="1947"/>
      <c r="J315" s="1947"/>
      <c r="K315" s="1947"/>
      <c r="L315" s="1947"/>
      <c r="M315" s="1947"/>
      <c r="N315" s="1947"/>
      <c r="O315" s="1947"/>
      <c r="P315" s="1947"/>
      <c r="Q315" s="1947"/>
      <c r="R315" s="1947"/>
      <c r="S315" s="1947"/>
      <c r="T315" s="1947"/>
      <c r="U315" s="837"/>
      <c r="V315" s="838"/>
      <c r="W315" s="838"/>
      <c r="X315" s="839"/>
      <c r="AH315" s="796" t="str">
        <f>HYPERLINK("#A360：X413")</f>
        <v>#A360：X413</v>
      </c>
      <c r="AI315" s="800" t="s">
        <v>3387</v>
      </c>
      <c r="AJ315" s="801"/>
      <c r="AK315" s="801"/>
      <c r="AL315" s="801"/>
      <c r="AM315" s="801"/>
      <c r="AN315" s="801"/>
      <c r="AO315" s="801"/>
    </row>
    <row r="316" spans="1:41" s="832" customFormat="1" ht="10.5">
      <c r="A316" s="1946"/>
      <c r="B316" s="1946"/>
      <c r="C316" s="1946"/>
      <c r="D316" s="1946"/>
      <c r="E316" s="1947"/>
      <c r="F316" s="1947"/>
      <c r="G316" s="1947"/>
      <c r="H316" s="1947"/>
      <c r="I316" s="1947"/>
      <c r="J316" s="1947"/>
      <c r="K316" s="1947"/>
      <c r="L316" s="1947"/>
      <c r="M316" s="1947"/>
      <c r="N316" s="1947"/>
      <c r="O316" s="1947"/>
      <c r="P316" s="1947"/>
      <c r="Q316" s="1947"/>
      <c r="R316" s="1947"/>
      <c r="S316" s="1947"/>
      <c r="T316" s="1947"/>
      <c r="U316" s="837"/>
      <c r="V316" s="838"/>
      <c r="W316" s="838"/>
      <c r="X316" s="839"/>
    </row>
    <row r="317" spans="1:41" s="832" customFormat="1" ht="10.5">
      <c r="A317" s="1946"/>
      <c r="B317" s="1946"/>
      <c r="C317" s="1946"/>
      <c r="D317" s="1946"/>
      <c r="E317" s="1947"/>
      <c r="F317" s="1947"/>
      <c r="G317" s="1947"/>
      <c r="H317" s="1947"/>
      <c r="I317" s="1947"/>
      <c r="J317" s="1947"/>
      <c r="K317" s="1947"/>
      <c r="L317" s="1947"/>
      <c r="M317" s="1947"/>
      <c r="N317" s="1947"/>
      <c r="O317" s="1947"/>
      <c r="P317" s="1947"/>
      <c r="Q317" s="1947"/>
      <c r="R317" s="1947"/>
      <c r="S317" s="1947"/>
      <c r="T317" s="1947"/>
      <c r="U317" s="837"/>
      <c r="V317" s="838"/>
      <c r="W317" s="838"/>
      <c r="X317" s="839"/>
    </row>
    <row r="318" spans="1:41" s="832" customFormat="1" ht="10.5">
      <c r="A318" s="1946"/>
      <c r="B318" s="1946"/>
      <c r="C318" s="1946"/>
      <c r="D318" s="1946"/>
      <c r="E318" s="1947"/>
      <c r="F318" s="1947"/>
      <c r="G318" s="1947"/>
      <c r="H318" s="1947"/>
      <c r="I318" s="1947"/>
      <c r="J318" s="1947"/>
      <c r="K318" s="1947"/>
      <c r="L318" s="1947"/>
      <c r="M318" s="1947"/>
      <c r="N318" s="1947"/>
      <c r="O318" s="1947"/>
      <c r="P318" s="1947"/>
      <c r="Q318" s="1947"/>
      <c r="R318" s="1947"/>
      <c r="S318" s="1947"/>
      <c r="T318" s="1947"/>
      <c r="U318" s="837"/>
      <c r="V318" s="838"/>
      <c r="W318" s="838"/>
      <c r="X318" s="839"/>
    </row>
    <row r="319" spans="1:41" s="832" customFormat="1" ht="10.5">
      <c r="A319" s="1946"/>
      <c r="B319" s="1946"/>
      <c r="C319" s="1946"/>
      <c r="D319" s="1946"/>
      <c r="E319" s="1947"/>
      <c r="F319" s="1947"/>
      <c r="G319" s="1947"/>
      <c r="H319" s="1947"/>
      <c r="I319" s="1947"/>
      <c r="J319" s="1947"/>
      <c r="K319" s="1947"/>
      <c r="L319" s="1947"/>
      <c r="M319" s="1947"/>
      <c r="N319" s="1947"/>
      <c r="O319" s="1947"/>
      <c r="P319" s="1947"/>
      <c r="Q319" s="1947"/>
      <c r="R319" s="1947"/>
      <c r="S319" s="1947"/>
      <c r="T319" s="1947"/>
      <c r="U319" s="837"/>
      <c r="V319" s="838"/>
      <c r="W319" s="838"/>
      <c r="X319" s="839"/>
    </row>
    <row r="320" spans="1:41" s="832" customFormat="1" ht="10.5">
      <c r="A320" s="1946" t="s">
        <v>3448</v>
      </c>
      <c r="B320" s="1946"/>
      <c r="C320" s="1946"/>
      <c r="D320" s="1946"/>
      <c r="E320" s="1947"/>
      <c r="F320" s="1947"/>
      <c r="G320" s="1947"/>
      <c r="H320" s="1947"/>
      <c r="I320" s="1947"/>
      <c r="J320" s="1947"/>
      <c r="K320" s="1947"/>
      <c r="L320" s="1947"/>
      <c r="M320" s="1947"/>
      <c r="N320" s="1947"/>
      <c r="O320" s="1947"/>
      <c r="P320" s="1947"/>
      <c r="Q320" s="1947"/>
      <c r="R320" s="1947"/>
      <c r="S320" s="1947"/>
      <c r="T320" s="1947"/>
      <c r="U320" s="833"/>
      <c r="V320" s="834" t="s">
        <v>3446</v>
      </c>
      <c r="W320" s="835"/>
      <c r="X320" s="843" t="s">
        <v>416</v>
      </c>
    </row>
    <row r="321" spans="1:24" s="832" customFormat="1" ht="10.5">
      <c r="A321" s="1946"/>
      <c r="B321" s="1946"/>
      <c r="C321" s="1946"/>
      <c r="D321" s="1946"/>
      <c r="E321" s="1947"/>
      <c r="F321" s="1947"/>
      <c r="G321" s="1947"/>
      <c r="H321" s="1947"/>
      <c r="I321" s="1947"/>
      <c r="J321" s="1947"/>
      <c r="K321" s="1947"/>
      <c r="L321" s="1947"/>
      <c r="M321" s="1947"/>
      <c r="N321" s="1947"/>
      <c r="O321" s="1947"/>
      <c r="P321" s="1947"/>
      <c r="Q321" s="1947"/>
      <c r="R321" s="1947"/>
      <c r="S321" s="1947"/>
      <c r="T321" s="1947"/>
      <c r="U321" s="837"/>
      <c r="V321" s="838"/>
      <c r="W321" s="838"/>
      <c r="X321" s="839"/>
    </row>
    <row r="322" spans="1:24" s="832" customFormat="1" ht="10.5">
      <c r="A322" s="1946"/>
      <c r="B322" s="1946"/>
      <c r="C322" s="1946"/>
      <c r="D322" s="1946"/>
      <c r="E322" s="1947"/>
      <c r="F322" s="1947"/>
      <c r="G322" s="1947"/>
      <c r="H322" s="1947"/>
      <c r="I322" s="1947"/>
      <c r="J322" s="1947"/>
      <c r="K322" s="1947"/>
      <c r="L322" s="1947"/>
      <c r="M322" s="1947"/>
      <c r="N322" s="1947"/>
      <c r="O322" s="1947"/>
      <c r="P322" s="1947"/>
      <c r="Q322" s="1947"/>
      <c r="R322" s="1947"/>
      <c r="S322" s="1947"/>
      <c r="T322" s="1947"/>
      <c r="U322" s="837"/>
      <c r="V322" s="838"/>
      <c r="W322" s="838"/>
      <c r="X322" s="839"/>
    </row>
    <row r="323" spans="1:24" s="832" customFormat="1" ht="10.5">
      <c r="A323" s="1946"/>
      <c r="B323" s="1946"/>
      <c r="C323" s="1946"/>
      <c r="D323" s="1946"/>
      <c r="E323" s="1947"/>
      <c r="F323" s="1947"/>
      <c r="G323" s="1947"/>
      <c r="H323" s="1947"/>
      <c r="I323" s="1947"/>
      <c r="J323" s="1947"/>
      <c r="K323" s="1947"/>
      <c r="L323" s="1947"/>
      <c r="M323" s="1947"/>
      <c r="N323" s="1947"/>
      <c r="O323" s="1947"/>
      <c r="P323" s="1947"/>
      <c r="Q323" s="1947"/>
      <c r="R323" s="1947"/>
      <c r="S323" s="1947"/>
      <c r="T323" s="1947"/>
      <c r="U323" s="837"/>
      <c r="V323" s="838"/>
      <c r="W323" s="838"/>
      <c r="X323" s="839"/>
    </row>
    <row r="324" spans="1:24" s="832" customFormat="1" ht="10.5">
      <c r="A324" s="1946"/>
      <c r="B324" s="1946"/>
      <c r="C324" s="1946"/>
      <c r="D324" s="1946"/>
      <c r="E324" s="1947"/>
      <c r="F324" s="1947"/>
      <c r="G324" s="1947"/>
      <c r="H324" s="1947"/>
      <c r="I324" s="1947"/>
      <c r="J324" s="1947"/>
      <c r="K324" s="1947"/>
      <c r="L324" s="1947"/>
      <c r="M324" s="1947"/>
      <c r="N324" s="1947"/>
      <c r="O324" s="1947"/>
      <c r="P324" s="1947"/>
      <c r="Q324" s="1947"/>
      <c r="R324" s="1947"/>
      <c r="S324" s="1947"/>
      <c r="T324" s="1947"/>
      <c r="U324" s="837"/>
      <c r="V324" s="838"/>
      <c r="W324" s="838"/>
      <c r="X324" s="839"/>
    </row>
    <row r="325" spans="1:24" s="832" customFormat="1" ht="10.5">
      <c r="A325" s="1946"/>
      <c r="B325" s="1946"/>
      <c r="C325" s="1946"/>
      <c r="D325" s="1946"/>
      <c r="E325" s="1947"/>
      <c r="F325" s="1947"/>
      <c r="G325" s="1947"/>
      <c r="H325" s="1947"/>
      <c r="I325" s="1947"/>
      <c r="J325" s="1947"/>
      <c r="K325" s="1947"/>
      <c r="L325" s="1947"/>
      <c r="M325" s="1947"/>
      <c r="N325" s="1947"/>
      <c r="O325" s="1947"/>
      <c r="P325" s="1947"/>
      <c r="Q325" s="1947"/>
      <c r="R325" s="1947"/>
      <c r="S325" s="1947"/>
      <c r="T325" s="1947"/>
      <c r="U325" s="837"/>
      <c r="V325" s="838"/>
      <c r="W325" s="838"/>
      <c r="X325" s="839"/>
    </row>
    <row r="326" spans="1:24" s="832" customFormat="1" ht="10.5">
      <c r="A326" s="1946" t="s">
        <v>3449</v>
      </c>
      <c r="B326" s="1946"/>
      <c r="C326" s="1946"/>
      <c r="D326" s="1946"/>
      <c r="E326" s="1947"/>
      <c r="F326" s="1947"/>
      <c r="G326" s="1947"/>
      <c r="H326" s="1947"/>
      <c r="I326" s="1947"/>
      <c r="J326" s="1947"/>
      <c r="K326" s="1947"/>
      <c r="L326" s="1947"/>
      <c r="M326" s="1947"/>
      <c r="N326" s="1947"/>
      <c r="O326" s="1947"/>
      <c r="P326" s="1947"/>
      <c r="Q326" s="1947"/>
      <c r="R326" s="1947"/>
      <c r="S326" s="1947"/>
      <c r="T326" s="1947"/>
      <c r="U326" s="833"/>
      <c r="V326" s="834" t="s">
        <v>3446</v>
      </c>
      <c r="W326" s="835"/>
      <c r="X326" s="843" t="s">
        <v>416</v>
      </c>
    </row>
    <row r="327" spans="1:24" s="832" customFormat="1" ht="10.5">
      <c r="A327" s="1946"/>
      <c r="B327" s="1946"/>
      <c r="C327" s="1946"/>
      <c r="D327" s="1946"/>
      <c r="E327" s="1947"/>
      <c r="F327" s="1947"/>
      <c r="G327" s="1947"/>
      <c r="H327" s="1947"/>
      <c r="I327" s="1947"/>
      <c r="J327" s="1947"/>
      <c r="K327" s="1947"/>
      <c r="L327" s="1947"/>
      <c r="M327" s="1947"/>
      <c r="N327" s="1947"/>
      <c r="O327" s="1947"/>
      <c r="P327" s="1947"/>
      <c r="Q327" s="1947"/>
      <c r="R327" s="1947"/>
      <c r="S327" s="1947"/>
      <c r="T327" s="1947"/>
      <c r="U327" s="837"/>
      <c r="V327" s="838"/>
      <c r="W327" s="838"/>
      <c r="X327" s="839"/>
    </row>
    <row r="328" spans="1:24" s="832" customFormat="1" ht="10.5">
      <c r="A328" s="1946"/>
      <c r="B328" s="1946"/>
      <c r="C328" s="1946"/>
      <c r="D328" s="1946"/>
      <c r="E328" s="1947"/>
      <c r="F328" s="1947"/>
      <c r="G328" s="1947"/>
      <c r="H328" s="1947"/>
      <c r="I328" s="1947"/>
      <c r="J328" s="1947"/>
      <c r="K328" s="1947"/>
      <c r="L328" s="1947"/>
      <c r="M328" s="1947"/>
      <c r="N328" s="1947"/>
      <c r="O328" s="1947"/>
      <c r="P328" s="1947"/>
      <c r="Q328" s="1947"/>
      <c r="R328" s="1947"/>
      <c r="S328" s="1947"/>
      <c r="T328" s="1947"/>
      <c r="U328" s="837"/>
      <c r="V328" s="838"/>
      <c r="W328" s="838"/>
      <c r="X328" s="839"/>
    </row>
    <row r="329" spans="1:24" s="832" customFormat="1" ht="10.5">
      <c r="A329" s="1946"/>
      <c r="B329" s="1946"/>
      <c r="C329" s="1946"/>
      <c r="D329" s="1946"/>
      <c r="E329" s="1947"/>
      <c r="F329" s="1947"/>
      <c r="G329" s="1947"/>
      <c r="H329" s="1947"/>
      <c r="I329" s="1947"/>
      <c r="J329" s="1947"/>
      <c r="K329" s="1947"/>
      <c r="L329" s="1947"/>
      <c r="M329" s="1947"/>
      <c r="N329" s="1947"/>
      <c r="O329" s="1947"/>
      <c r="P329" s="1947"/>
      <c r="Q329" s="1947"/>
      <c r="R329" s="1947"/>
      <c r="S329" s="1947"/>
      <c r="T329" s="1947"/>
      <c r="U329" s="837"/>
      <c r="V329" s="838"/>
      <c r="W329" s="838"/>
      <c r="X329" s="839"/>
    </row>
    <row r="330" spans="1:24" s="832" customFormat="1" ht="10.5">
      <c r="A330" s="1946" t="s">
        <v>3450</v>
      </c>
      <c r="B330" s="1946"/>
      <c r="C330" s="1946"/>
      <c r="D330" s="1946"/>
      <c r="E330" s="1947"/>
      <c r="F330" s="1947"/>
      <c r="G330" s="1947"/>
      <c r="H330" s="1947"/>
      <c r="I330" s="1947"/>
      <c r="J330" s="1947"/>
      <c r="K330" s="1947"/>
      <c r="L330" s="1947"/>
      <c r="M330" s="1947"/>
      <c r="N330" s="1947"/>
      <c r="O330" s="1947"/>
      <c r="P330" s="1947"/>
      <c r="Q330" s="1947"/>
      <c r="R330" s="1947"/>
      <c r="S330" s="1947"/>
      <c r="T330" s="1947"/>
      <c r="U330" s="833"/>
      <c r="V330" s="834" t="s">
        <v>3446</v>
      </c>
      <c r="W330" s="835"/>
      <c r="X330" s="843" t="s">
        <v>416</v>
      </c>
    </row>
    <row r="331" spans="1:24" s="832" customFormat="1" ht="10.5">
      <c r="A331" s="1946"/>
      <c r="B331" s="1946"/>
      <c r="C331" s="1946"/>
      <c r="D331" s="1946"/>
      <c r="E331" s="1947"/>
      <c r="F331" s="1947"/>
      <c r="G331" s="1947"/>
      <c r="H331" s="1947"/>
      <c r="I331" s="1947"/>
      <c r="J331" s="1947"/>
      <c r="K331" s="1947"/>
      <c r="L331" s="1947"/>
      <c r="M331" s="1947"/>
      <c r="N331" s="1947"/>
      <c r="O331" s="1947"/>
      <c r="P331" s="1947"/>
      <c r="Q331" s="1947"/>
      <c r="R331" s="1947"/>
      <c r="S331" s="1947"/>
      <c r="T331" s="1947"/>
      <c r="U331" s="837"/>
      <c r="V331" s="838"/>
      <c r="W331" s="838"/>
      <c r="X331" s="839"/>
    </row>
    <row r="332" spans="1:24" s="832" customFormat="1" ht="10.5">
      <c r="A332" s="1946"/>
      <c r="B332" s="1946"/>
      <c r="C332" s="1946"/>
      <c r="D332" s="1946"/>
      <c r="E332" s="1947"/>
      <c r="F332" s="1947"/>
      <c r="G332" s="1947"/>
      <c r="H332" s="1947"/>
      <c r="I332" s="1947"/>
      <c r="J332" s="1947"/>
      <c r="K332" s="1947"/>
      <c r="L332" s="1947"/>
      <c r="M332" s="1947"/>
      <c r="N332" s="1947"/>
      <c r="O332" s="1947"/>
      <c r="P332" s="1947"/>
      <c r="Q332" s="1947"/>
      <c r="R332" s="1947"/>
      <c r="S332" s="1947"/>
      <c r="T332" s="1947"/>
      <c r="U332" s="837"/>
      <c r="V332" s="838"/>
      <c r="W332" s="838"/>
      <c r="X332" s="839"/>
    </row>
    <row r="333" spans="1:24" s="832" customFormat="1" ht="10.5">
      <c r="A333" s="1946"/>
      <c r="B333" s="1946"/>
      <c r="C333" s="1946"/>
      <c r="D333" s="1946"/>
      <c r="E333" s="1947"/>
      <c r="F333" s="1947"/>
      <c r="G333" s="1947"/>
      <c r="H333" s="1947"/>
      <c r="I333" s="1947"/>
      <c r="J333" s="1947"/>
      <c r="K333" s="1947"/>
      <c r="L333" s="1947"/>
      <c r="M333" s="1947"/>
      <c r="N333" s="1947"/>
      <c r="O333" s="1947"/>
      <c r="P333" s="1947"/>
      <c r="Q333" s="1947"/>
      <c r="R333" s="1947"/>
      <c r="S333" s="1947"/>
      <c r="T333" s="1947"/>
      <c r="U333" s="837"/>
      <c r="V333" s="838"/>
      <c r="W333" s="838"/>
      <c r="X333" s="839"/>
    </row>
    <row r="334" spans="1:24" s="832" customFormat="1" ht="10.5">
      <c r="A334" s="1946" t="s">
        <v>3451</v>
      </c>
      <c r="B334" s="1946"/>
      <c r="C334" s="1946"/>
      <c r="D334" s="1946"/>
      <c r="E334" s="1947"/>
      <c r="F334" s="1947"/>
      <c r="G334" s="1947"/>
      <c r="H334" s="1947"/>
      <c r="I334" s="1947"/>
      <c r="J334" s="1947"/>
      <c r="K334" s="1947"/>
      <c r="L334" s="1947"/>
      <c r="M334" s="1947"/>
      <c r="N334" s="1947"/>
      <c r="O334" s="1947"/>
      <c r="P334" s="1947"/>
      <c r="Q334" s="1947"/>
      <c r="R334" s="1947"/>
      <c r="S334" s="1947"/>
      <c r="T334" s="1947"/>
      <c r="U334" s="833"/>
      <c r="V334" s="834" t="s">
        <v>3446</v>
      </c>
      <c r="W334" s="835"/>
      <c r="X334" s="843" t="s">
        <v>416</v>
      </c>
    </row>
    <row r="335" spans="1:24" s="832" customFormat="1" ht="10.5">
      <c r="A335" s="1946"/>
      <c r="B335" s="1946"/>
      <c r="C335" s="1946"/>
      <c r="D335" s="1946"/>
      <c r="E335" s="1947"/>
      <c r="F335" s="1947"/>
      <c r="G335" s="1947"/>
      <c r="H335" s="1947"/>
      <c r="I335" s="1947"/>
      <c r="J335" s="1947"/>
      <c r="K335" s="1947"/>
      <c r="L335" s="1947"/>
      <c r="M335" s="1947"/>
      <c r="N335" s="1947"/>
      <c r="O335" s="1947"/>
      <c r="P335" s="1947"/>
      <c r="Q335" s="1947"/>
      <c r="R335" s="1947"/>
      <c r="S335" s="1947"/>
      <c r="T335" s="1947"/>
      <c r="U335" s="837"/>
      <c r="V335" s="838"/>
      <c r="W335" s="838"/>
      <c r="X335" s="839"/>
    </row>
    <row r="336" spans="1:24" s="832" customFormat="1" ht="10.5">
      <c r="A336" s="1946"/>
      <c r="B336" s="1946"/>
      <c r="C336" s="1946"/>
      <c r="D336" s="1946"/>
      <c r="E336" s="1947"/>
      <c r="F336" s="1947"/>
      <c r="G336" s="1947"/>
      <c r="H336" s="1947"/>
      <c r="I336" s="1947"/>
      <c r="J336" s="1947"/>
      <c r="K336" s="1947"/>
      <c r="L336" s="1947"/>
      <c r="M336" s="1947"/>
      <c r="N336" s="1947"/>
      <c r="O336" s="1947"/>
      <c r="P336" s="1947"/>
      <c r="Q336" s="1947"/>
      <c r="R336" s="1947"/>
      <c r="S336" s="1947"/>
      <c r="T336" s="1947"/>
      <c r="U336" s="837"/>
      <c r="V336" s="838"/>
      <c r="W336" s="838"/>
      <c r="X336" s="839"/>
    </row>
    <row r="337" spans="1:24" s="832" customFormat="1" ht="10.5">
      <c r="A337" s="1946" t="s">
        <v>3452</v>
      </c>
      <c r="B337" s="1946"/>
      <c r="C337" s="1946"/>
      <c r="D337" s="1946"/>
      <c r="E337" s="1947"/>
      <c r="F337" s="1947"/>
      <c r="G337" s="1947"/>
      <c r="H337" s="1947"/>
      <c r="I337" s="1947"/>
      <c r="J337" s="1947"/>
      <c r="K337" s="1947"/>
      <c r="L337" s="1947"/>
      <c r="M337" s="1947"/>
      <c r="N337" s="1947"/>
      <c r="O337" s="1947"/>
      <c r="P337" s="1947"/>
      <c r="Q337" s="1947"/>
      <c r="R337" s="1947"/>
      <c r="S337" s="1947"/>
      <c r="T337" s="1947"/>
      <c r="U337" s="833"/>
      <c r="V337" s="834" t="s">
        <v>3446</v>
      </c>
      <c r="W337" s="835"/>
      <c r="X337" s="843" t="s">
        <v>416</v>
      </c>
    </row>
    <row r="338" spans="1:24" s="832" customFormat="1" ht="10.5">
      <c r="A338" s="1946"/>
      <c r="B338" s="1946"/>
      <c r="C338" s="1946"/>
      <c r="D338" s="1946"/>
      <c r="E338" s="1947"/>
      <c r="F338" s="1947"/>
      <c r="G338" s="1947"/>
      <c r="H338" s="1947"/>
      <c r="I338" s="1947"/>
      <c r="J338" s="1947"/>
      <c r="K338" s="1947"/>
      <c r="L338" s="1947"/>
      <c r="M338" s="1947"/>
      <c r="N338" s="1947"/>
      <c r="O338" s="1947"/>
      <c r="P338" s="1947"/>
      <c r="Q338" s="1947"/>
      <c r="R338" s="1947"/>
      <c r="S338" s="1947"/>
      <c r="T338" s="1947"/>
      <c r="U338" s="837"/>
      <c r="V338" s="838"/>
      <c r="W338" s="838"/>
      <c r="X338" s="839"/>
    </row>
    <row r="339" spans="1:24" s="832" customFormat="1" ht="10.5">
      <c r="A339" s="1946"/>
      <c r="B339" s="1946"/>
      <c r="C339" s="1946"/>
      <c r="D339" s="1946"/>
      <c r="E339" s="1947"/>
      <c r="F339" s="1947"/>
      <c r="G339" s="1947"/>
      <c r="H339" s="1947"/>
      <c r="I339" s="1947"/>
      <c r="J339" s="1947"/>
      <c r="K339" s="1947"/>
      <c r="L339" s="1947"/>
      <c r="M339" s="1947"/>
      <c r="N339" s="1947"/>
      <c r="O339" s="1947"/>
      <c r="P339" s="1947"/>
      <c r="Q339" s="1947"/>
      <c r="R339" s="1947"/>
      <c r="S339" s="1947"/>
      <c r="T339" s="1947"/>
      <c r="U339" s="837"/>
      <c r="V339" s="838"/>
      <c r="W339" s="838"/>
      <c r="X339" s="839"/>
    </row>
    <row r="340" spans="1:24" s="832" customFormat="1" ht="10.5">
      <c r="A340" s="1946"/>
      <c r="B340" s="1946"/>
      <c r="C340" s="1946"/>
      <c r="D340" s="1946"/>
      <c r="E340" s="1947"/>
      <c r="F340" s="1947"/>
      <c r="G340" s="1947"/>
      <c r="H340" s="1947"/>
      <c r="I340" s="1947"/>
      <c r="J340" s="1947"/>
      <c r="K340" s="1947"/>
      <c r="L340" s="1947"/>
      <c r="M340" s="1947"/>
      <c r="N340" s="1947"/>
      <c r="O340" s="1947"/>
      <c r="P340" s="1947"/>
      <c r="Q340" s="1947"/>
      <c r="R340" s="1947"/>
      <c r="S340" s="1947"/>
      <c r="T340" s="1947"/>
      <c r="U340" s="837"/>
      <c r="V340" s="838"/>
      <c r="W340" s="838"/>
      <c r="X340" s="839"/>
    </row>
    <row r="341" spans="1:24" s="832" customFormat="1" ht="10.5">
      <c r="A341" s="1946" t="s">
        <v>3453</v>
      </c>
      <c r="B341" s="1946"/>
      <c r="C341" s="1946"/>
      <c r="D341" s="1946"/>
      <c r="E341" s="1947"/>
      <c r="F341" s="1947"/>
      <c r="G341" s="1947"/>
      <c r="H341" s="1947"/>
      <c r="I341" s="1947"/>
      <c r="J341" s="1947"/>
      <c r="K341" s="1947"/>
      <c r="L341" s="1947"/>
      <c r="M341" s="1947"/>
      <c r="N341" s="1947"/>
      <c r="O341" s="1947"/>
      <c r="P341" s="1947"/>
      <c r="Q341" s="1947"/>
      <c r="R341" s="1947"/>
      <c r="S341" s="1947"/>
      <c r="T341" s="1947"/>
      <c r="U341" s="833"/>
      <c r="V341" s="834" t="s">
        <v>3446</v>
      </c>
      <c r="W341" s="835"/>
      <c r="X341" s="843" t="s">
        <v>416</v>
      </c>
    </row>
    <row r="342" spans="1:24" s="832" customFormat="1" ht="10.5">
      <c r="A342" s="1946"/>
      <c r="B342" s="1946"/>
      <c r="C342" s="1946"/>
      <c r="D342" s="1946"/>
      <c r="E342" s="1947"/>
      <c r="F342" s="1947"/>
      <c r="G342" s="1947"/>
      <c r="H342" s="1947"/>
      <c r="I342" s="1947"/>
      <c r="J342" s="1947"/>
      <c r="K342" s="1947"/>
      <c r="L342" s="1947"/>
      <c r="M342" s="1947"/>
      <c r="N342" s="1947"/>
      <c r="O342" s="1947"/>
      <c r="P342" s="1947"/>
      <c r="Q342" s="1947"/>
      <c r="R342" s="1947"/>
      <c r="S342" s="1947"/>
      <c r="T342" s="1947"/>
      <c r="U342" s="837"/>
      <c r="V342" s="838"/>
      <c r="W342" s="838"/>
      <c r="X342" s="839"/>
    </row>
    <row r="343" spans="1:24" s="832" customFormat="1" ht="10.5">
      <c r="A343" s="1946"/>
      <c r="B343" s="1946"/>
      <c r="C343" s="1946"/>
      <c r="D343" s="1946"/>
      <c r="E343" s="1947"/>
      <c r="F343" s="1947"/>
      <c r="G343" s="1947"/>
      <c r="H343" s="1947"/>
      <c r="I343" s="1947"/>
      <c r="J343" s="1947"/>
      <c r="K343" s="1947"/>
      <c r="L343" s="1947"/>
      <c r="M343" s="1947"/>
      <c r="N343" s="1947"/>
      <c r="O343" s="1947"/>
      <c r="P343" s="1947"/>
      <c r="Q343" s="1947"/>
      <c r="R343" s="1947"/>
      <c r="S343" s="1947"/>
      <c r="T343" s="1947"/>
      <c r="U343" s="837"/>
      <c r="V343" s="838"/>
      <c r="W343" s="838"/>
      <c r="X343" s="839"/>
    </row>
    <row r="344" spans="1:24" s="832" customFormat="1" ht="10.5">
      <c r="A344" s="1946"/>
      <c r="B344" s="1946"/>
      <c r="C344" s="1946"/>
      <c r="D344" s="1946"/>
      <c r="E344" s="1947"/>
      <c r="F344" s="1947"/>
      <c r="G344" s="1947"/>
      <c r="H344" s="1947"/>
      <c r="I344" s="1947"/>
      <c r="J344" s="1947"/>
      <c r="K344" s="1947"/>
      <c r="L344" s="1947"/>
      <c r="M344" s="1947"/>
      <c r="N344" s="1947"/>
      <c r="O344" s="1947"/>
      <c r="P344" s="1947"/>
      <c r="Q344" s="1947"/>
      <c r="R344" s="1947"/>
      <c r="S344" s="1947"/>
      <c r="T344" s="1947"/>
      <c r="U344" s="837"/>
      <c r="V344" s="838"/>
      <c r="W344" s="838"/>
      <c r="X344" s="839"/>
    </row>
    <row r="345" spans="1:24" s="832" customFormat="1" ht="10.5">
      <c r="A345" s="1946" t="s">
        <v>3454</v>
      </c>
      <c r="B345" s="1946"/>
      <c r="C345" s="1946"/>
      <c r="D345" s="1946"/>
      <c r="E345" s="1947"/>
      <c r="F345" s="1947"/>
      <c r="G345" s="1947"/>
      <c r="H345" s="1947"/>
      <c r="I345" s="1947"/>
      <c r="J345" s="1947"/>
      <c r="K345" s="1947"/>
      <c r="L345" s="1947"/>
      <c r="M345" s="1947"/>
      <c r="N345" s="1947"/>
      <c r="O345" s="1947"/>
      <c r="P345" s="1947"/>
      <c r="Q345" s="1947"/>
      <c r="R345" s="1947"/>
      <c r="S345" s="1947"/>
      <c r="T345" s="1947"/>
      <c r="U345" s="833"/>
      <c r="V345" s="834" t="s">
        <v>3446</v>
      </c>
      <c r="W345" s="835"/>
      <c r="X345" s="843" t="s">
        <v>416</v>
      </c>
    </row>
    <row r="346" spans="1:24" s="832" customFormat="1" ht="10.5">
      <c r="A346" s="1946"/>
      <c r="B346" s="1946"/>
      <c r="C346" s="1946"/>
      <c r="D346" s="1946"/>
      <c r="E346" s="1947"/>
      <c r="F346" s="1947"/>
      <c r="G346" s="1947"/>
      <c r="H346" s="1947"/>
      <c r="I346" s="1947"/>
      <c r="J346" s="1947"/>
      <c r="K346" s="1947"/>
      <c r="L346" s="1947"/>
      <c r="M346" s="1947"/>
      <c r="N346" s="1947"/>
      <c r="O346" s="1947"/>
      <c r="P346" s="1947"/>
      <c r="Q346" s="1947"/>
      <c r="R346" s="1947"/>
      <c r="S346" s="1947"/>
      <c r="T346" s="1947"/>
      <c r="U346" s="837"/>
      <c r="V346" s="838"/>
      <c r="W346" s="838"/>
      <c r="X346" s="839"/>
    </row>
    <row r="347" spans="1:24" s="832" customFormat="1" ht="10.5">
      <c r="A347" s="1946"/>
      <c r="B347" s="1946"/>
      <c r="C347" s="1946"/>
      <c r="D347" s="1946"/>
      <c r="E347" s="1947"/>
      <c r="F347" s="1947"/>
      <c r="G347" s="1947"/>
      <c r="H347" s="1947"/>
      <c r="I347" s="1947"/>
      <c r="J347" s="1947"/>
      <c r="K347" s="1947"/>
      <c r="L347" s="1947"/>
      <c r="M347" s="1947"/>
      <c r="N347" s="1947"/>
      <c r="O347" s="1947"/>
      <c r="P347" s="1947"/>
      <c r="Q347" s="1947"/>
      <c r="R347" s="1947"/>
      <c r="S347" s="1947"/>
      <c r="T347" s="1947"/>
      <c r="U347" s="837"/>
      <c r="V347" s="838"/>
      <c r="W347" s="838"/>
      <c r="X347" s="839"/>
    </row>
    <row r="348" spans="1:24" s="832" customFormat="1" ht="10.5">
      <c r="A348" s="1946"/>
      <c r="B348" s="1946"/>
      <c r="C348" s="1946"/>
      <c r="D348" s="1946"/>
      <c r="E348" s="1947"/>
      <c r="F348" s="1947"/>
      <c r="G348" s="1947"/>
      <c r="H348" s="1947"/>
      <c r="I348" s="1947"/>
      <c r="J348" s="1947"/>
      <c r="K348" s="1947"/>
      <c r="L348" s="1947"/>
      <c r="M348" s="1947"/>
      <c r="N348" s="1947"/>
      <c r="O348" s="1947"/>
      <c r="P348" s="1947"/>
      <c r="Q348" s="1947"/>
      <c r="R348" s="1947"/>
      <c r="S348" s="1947"/>
      <c r="T348" s="1947"/>
      <c r="U348" s="837"/>
      <c r="V348" s="838"/>
      <c r="W348" s="838"/>
      <c r="X348" s="839"/>
    </row>
    <row r="349" spans="1:24" s="832" customFormat="1" ht="10.5">
      <c r="A349" s="1946" t="s">
        <v>3455</v>
      </c>
      <c r="B349" s="1946"/>
      <c r="C349" s="1946"/>
      <c r="D349" s="1946"/>
      <c r="E349" s="1947"/>
      <c r="F349" s="1947"/>
      <c r="G349" s="1947"/>
      <c r="H349" s="1947"/>
      <c r="I349" s="1947"/>
      <c r="J349" s="1947"/>
      <c r="K349" s="1947"/>
      <c r="L349" s="1947"/>
      <c r="M349" s="1947"/>
      <c r="N349" s="1947"/>
      <c r="O349" s="1947"/>
      <c r="P349" s="1947"/>
      <c r="Q349" s="1947"/>
      <c r="R349" s="1947"/>
      <c r="S349" s="1947"/>
      <c r="T349" s="1947"/>
      <c r="U349" s="833"/>
      <c r="V349" s="834" t="s">
        <v>3446</v>
      </c>
      <c r="W349" s="835"/>
      <c r="X349" s="843" t="s">
        <v>416</v>
      </c>
    </row>
    <row r="350" spans="1:24" s="832" customFormat="1" ht="10.5">
      <c r="A350" s="1946"/>
      <c r="B350" s="1946"/>
      <c r="C350" s="1946"/>
      <c r="D350" s="1946"/>
      <c r="E350" s="1947"/>
      <c r="F350" s="1947"/>
      <c r="G350" s="1947"/>
      <c r="H350" s="1947"/>
      <c r="I350" s="1947"/>
      <c r="J350" s="1947"/>
      <c r="K350" s="1947"/>
      <c r="L350" s="1947"/>
      <c r="M350" s="1947"/>
      <c r="N350" s="1947"/>
      <c r="O350" s="1947"/>
      <c r="P350" s="1947"/>
      <c r="Q350" s="1947"/>
      <c r="R350" s="1947"/>
      <c r="S350" s="1947"/>
      <c r="T350" s="1947"/>
      <c r="U350" s="837"/>
      <c r="V350" s="838"/>
      <c r="W350" s="838"/>
      <c r="X350" s="839"/>
    </row>
    <row r="351" spans="1:24" s="832" customFormat="1" ht="10.5">
      <c r="A351" s="1946"/>
      <c r="B351" s="1946"/>
      <c r="C351" s="1946"/>
      <c r="D351" s="1946"/>
      <c r="E351" s="1947"/>
      <c r="F351" s="1947"/>
      <c r="G351" s="1947"/>
      <c r="H351" s="1947"/>
      <c r="I351" s="1947"/>
      <c r="J351" s="1947"/>
      <c r="K351" s="1947"/>
      <c r="L351" s="1947"/>
      <c r="M351" s="1947"/>
      <c r="N351" s="1947"/>
      <c r="O351" s="1947"/>
      <c r="P351" s="1947"/>
      <c r="Q351" s="1947"/>
      <c r="R351" s="1947"/>
      <c r="S351" s="1947"/>
      <c r="T351" s="1947"/>
      <c r="U351" s="837"/>
      <c r="V351" s="838"/>
      <c r="W351" s="838"/>
      <c r="X351" s="839"/>
    </row>
    <row r="352" spans="1:24" s="832" customFormat="1" ht="10.5">
      <c r="A352" s="1946"/>
      <c r="B352" s="1946"/>
      <c r="C352" s="1946"/>
      <c r="D352" s="1946"/>
      <c r="E352" s="1947"/>
      <c r="F352" s="1947"/>
      <c r="G352" s="1947"/>
      <c r="H352" s="1947"/>
      <c r="I352" s="1947"/>
      <c r="J352" s="1947"/>
      <c r="K352" s="1947"/>
      <c r="L352" s="1947"/>
      <c r="M352" s="1947"/>
      <c r="N352" s="1947"/>
      <c r="O352" s="1947"/>
      <c r="P352" s="1947"/>
      <c r="Q352" s="1947"/>
      <c r="R352" s="1947"/>
      <c r="S352" s="1947"/>
      <c r="T352" s="1947"/>
      <c r="U352" s="837"/>
      <c r="V352" s="838"/>
      <c r="W352" s="838"/>
      <c r="X352" s="839"/>
    </row>
    <row r="353" spans="1:41" s="832" customFormat="1" ht="10.5">
      <c r="A353" s="1946"/>
      <c r="B353" s="1946"/>
      <c r="C353" s="1946"/>
      <c r="D353" s="1946"/>
      <c r="E353" s="1947"/>
      <c r="F353" s="1947"/>
      <c r="G353" s="1947"/>
      <c r="H353" s="1947"/>
      <c r="I353" s="1947"/>
      <c r="J353" s="1947"/>
      <c r="K353" s="1947"/>
      <c r="L353" s="1947"/>
      <c r="M353" s="1947"/>
      <c r="N353" s="1947"/>
      <c r="O353" s="1947"/>
      <c r="P353" s="1947"/>
      <c r="Q353" s="1947"/>
      <c r="R353" s="1947"/>
      <c r="S353" s="1947"/>
      <c r="T353" s="1947"/>
      <c r="U353" s="837"/>
      <c r="V353" s="838"/>
      <c r="W353" s="838"/>
      <c r="X353" s="839"/>
    </row>
    <row r="354" spans="1:41" s="832" customFormat="1" ht="10.5">
      <c r="A354" s="1946" t="s">
        <v>3456</v>
      </c>
      <c r="B354" s="1946"/>
      <c r="C354" s="1946"/>
      <c r="D354" s="1946"/>
      <c r="E354" s="1947"/>
      <c r="F354" s="1947"/>
      <c r="G354" s="1947"/>
      <c r="H354" s="1947"/>
      <c r="I354" s="1947"/>
      <c r="J354" s="1947"/>
      <c r="K354" s="1947"/>
      <c r="L354" s="1947"/>
      <c r="M354" s="1947"/>
      <c r="N354" s="1947"/>
      <c r="O354" s="1947"/>
      <c r="P354" s="1947"/>
      <c r="Q354" s="1947"/>
      <c r="R354" s="1947"/>
      <c r="S354" s="1947"/>
      <c r="T354" s="1947"/>
      <c r="U354" s="833"/>
      <c r="V354" s="834" t="s">
        <v>3446</v>
      </c>
      <c r="W354" s="835"/>
      <c r="X354" s="843" t="s">
        <v>416</v>
      </c>
    </row>
    <row r="355" spans="1:41" s="832" customFormat="1" ht="10.5">
      <c r="A355" s="1946"/>
      <c r="B355" s="1946"/>
      <c r="C355" s="1946"/>
      <c r="D355" s="1946"/>
      <c r="E355" s="1947"/>
      <c r="F355" s="1947"/>
      <c r="G355" s="1947"/>
      <c r="H355" s="1947"/>
      <c r="I355" s="1947"/>
      <c r="J355" s="1947"/>
      <c r="K355" s="1947"/>
      <c r="L355" s="1947"/>
      <c r="M355" s="1947"/>
      <c r="N355" s="1947"/>
      <c r="O355" s="1947"/>
      <c r="P355" s="1947"/>
      <c r="Q355" s="1947"/>
      <c r="R355" s="1947"/>
      <c r="S355" s="1947"/>
      <c r="T355" s="1947"/>
      <c r="U355" s="837"/>
      <c r="V355" s="838"/>
      <c r="W355" s="838"/>
      <c r="X355" s="839"/>
    </row>
    <row r="356" spans="1:41" s="832" customFormat="1" ht="10.5">
      <c r="A356" s="1946"/>
      <c r="B356" s="1946"/>
      <c r="C356" s="1946"/>
      <c r="D356" s="1946"/>
      <c r="E356" s="1947"/>
      <c r="F356" s="1947"/>
      <c r="G356" s="1947"/>
      <c r="H356" s="1947"/>
      <c r="I356" s="1947"/>
      <c r="J356" s="1947"/>
      <c r="K356" s="1947"/>
      <c r="L356" s="1947"/>
      <c r="M356" s="1947"/>
      <c r="N356" s="1947"/>
      <c r="O356" s="1947"/>
      <c r="P356" s="1947"/>
      <c r="Q356" s="1947"/>
      <c r="R356" s="1947"/>
      <c r="S356" s="1947"/>
      <c r="T356" s="1947"/>
      <c r="U356" s="837"/>
      <c r="V356" s="838"/>
      <c r="W356" s="838"/>
      <c r="X356" s="839"/>
    </row>
    <row r="357" spans="1:41" s="832" customFormat="1" ht="10.5">
      <c r="A357" s="1946"/>
      <c r="B357" s="1946"/>
      <c r="C357" s="1946"/>
      <c r="D357" s="1946"/>
      <c r="E357" s="1947"/>
      <c r="F357" s="1947"/>
      <c r="G357" s="1947"/>
      <c r="H357" s="1947"/>
      <c r="I357" s="1947"/>
      <c r="J357" s="1947"/>
      <c r="K357" s="1947"/>
      <c r="L357" s="1947"/>
      <c r="M357" s="1947"/>
      <c r="N357" s="1947"/>
      <c r="O357" s="1947"/>
      <c r="P357" s="1947"/>
      <c r="Q357" s="1947"/>
      <c r="R357" s="1947"/>
      <c r="S357" s="1947"/>
      <c r="T357" s="1947"/>
      <c r="U357" s="837"/>
      <c r="V357" s="838"/>
      <c r="W357" s="838"/>
      <c r="X357" s="839"/>
    </row>
    <row r="358" spans="1:41" s="832" customFormat="1" ht="10.5">
      <c r="A358" s="1946" t="s">
        <v>394</v>
      </c>
      <c r="B358" s="1946"/>
      <c r="C358" s="1946"/>
      <c r="D358" s="1946"/>
      <c r="E358" s="1949"/>
      <c r="F358" s="1950"/>
      <c r="G358" s="1950"/>
      <c r="H358" s="1950"/>
      <c r="I358" s="1950"/>
      <c r="J358" s="1950"/>
      <c r="K358" s="1950"/>
      <c r="L358" s="1950"/>
      <c r="M358" s="1950"/>
      <c r="N358" s="1950"/>
      <c r="O358" s="1950"/>
      <c r="P358" s="1950"/>
      <c r="Q358" s="1950"/>
      <c r="R358" s="1950"/>
      <c r="S358" s="1950"/>
      <c r="T358" s="1951"/>
      <c r="U358" s="833"/>
      <c r="V358" s="834" t="s">
        <v>3446</v>
      </c>
      <c r="W358" s="835"/>
      <c r="X358" s="843" t="s">
        <v>416</v>
      </c>
    </row>
    <row r="359" spans="1:41" s="832" customFormat="1" ht="10.5">
      <c r="A359" s="1946"/>
      <c r="B359" s="1946"/>
      <c r="C359" s="1946"/>
      <c r="D359" s="1946"/>
      <c r="E359" s="1952"/>
      <c r="F359" s="1953"/>
      <c r="G359" s="1953"/>
      <c r="H359" s="1953"/>
      <c r="I359" s="1953"/>
      <c r="J359" s="1953"/>
      <c r="K359" s="1953"/>
      <c r="L359" s="1953"/>
      <c r="M359" s="1953"/>
      <c r="N359" s="1953"/>
      <c r="O359" s="1953"/>
      <c r="P359" s="1953"/>
      <c r="Q359" s="1953"/>
      <c r="R359" s="1953"/>
      <c r="S359" s="1953"/>
      <c r="T359" s="1954"/>
      <c r="U359" s="840"/>
      <c r="V359" s="841"/>
      <c r="W359" s="841"/>
      <c r="X359" s="842"/>
    </row>
    <row r="360" spans="1:41" ht="13.5">
      <c r="A360" s="1919" t="s">
        <v>3457</v>
      </c>
      <c r="B360" s="1919"/>
      <c r="C360" s="1919"/>
      <c r="D360" s="1919"/>
      <c r="E360" s="1919"/>
      <c r="F360" s="1919"/>
      <c r="G360" s="1919"/>
      <c r="H360" s="1919"/>
      <c r="I360" s="1919"/>
      <c r="J360" s="1919"/>
      <c r="K360" s="1919"/>
      <c r="L360" s="1919"/>
      <c r="M360" s="1919"/>
      <c r="N360" s="1919"/>
      <c r="O360" s="1919"/>
      <c r="P360" s="1919"/>
      <c r="Q360" s="1919"/>
      <c r="R360" s="1919"/>
      <c r="S360" s="1919"/>
      <c r="T360" s="1919"/>
      <c r="U360" s="1919"/>
      <c r="V360" s="1919"/>
      <c r="W360" s="1919"/>
      <c r="X360" s="1919"/>
      <c r="AH360" s="793" t="s">
        <v>3093</v>
      </c>
      <c r="AI360" s="793"/>
      <c r="AJ360" s="733"/>
    </row>
    <row r="361" spans="1:41" ht="12">
      <c r="A361" s="831"/>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AH361" s="794" t="s">
        <v>2845</v>
      </c>
      <c r="AI361" s="793"/>
      <c r="AJ361" s="795"/>
    </row>
    <row r="362" spans="1:41" ht="13.5">
      <c r="A362" s="831"/>
      <c r="B362" s="1948" t="s">
        <v>566</v>
      </c>
      <c r="C362" s="1948"/>
      <c r="D362" s="1948"/>
      <c r="E362" s="1948"/>
      <c r="F362" s="1948"/>
      <c r="G362" s="1948"/>
      <c r="H362" s="1948"/>
      <c r="I362" s="1948"/>
      <c r="J362" s="1948"/>
      <c r="K362" s="1932"/>
      <c r="L362" s="1932"/>
      <c r="M362" s="1932"/>
      <c r="N362" s="1932"/>
      <c r="O362" s="1932"/>
      <c r="P362" s="1932"/>
      <c r="Q362" s="1932"/>
      <c r="R362" s="1932"/>
      <c r="S362" s="1932"/>
      <c r="T362" s="1932"/>
      <c r="U362" s="1932"/>
      <c r="V362" s="1932"/>
      <c r="W362" s="1932"/>
      <c r="X362" s="1932"/>
      <c r="AH362" s="796" t="str">
        <f>HYPERLINK("#A1：X46")</f>
        <v>#A1：X46</v>
      </c>
      <c r="AI362" s="797" t="s">
        <v>2723</v>
      </c>
      <c r="AJ362" s="798"/>
      <c r="AK362" s="799"/>
      <c r="AL362" s="799"/>
      <c r="AM362" s="799"/>
      <c r="AN362" s="799"/>
      <c r="AO362" s="799"/>
    </row>
    <row r="363" spans="1:41" ht="13.5">
      <c r="A363" s="831"/>
      <c r="B363" s="1948" t="s">
        <v>567</v>
      </c>
      <c r="C363" s="1948"/>
      <c r="D363" s="1948"/>
      <c r="E363" s="1948"/>
      <c r="F363" s="1948"/>
      <c r="G363" s="1934"/>
      <c r="H363" s="1934"/>
      <c r="I363" s="1934"/>
      <c r="J363" s="1934"/>
      <c r="K363" s="1934"/>
      <c r="L363" s="1934"/>
      <c r="M363" s="1934"/>
      <c r="N363" s="1934"/>
      <c r="O363" s="1934"/>
      <c r="P363" s="1934"/>
      <c r="Q363" s="1934"/>
      <c r="R363" s="1934"/>
      <c r="S363" s="1934"/>
      <c r="T363" s="1934"/>
      <c r="U363" s="1934"/>
      <c r="V363" s="1934"/>
      <c r="W363" s="1934"/>
      <c r="X363" s="1934"/>
      <c r="AH363" s="796" t="str">
        <f>HYPERLINK("#A47：X100")</f>
        <v>#A47：X100</v>
      </c>
      <c r="AI363" s="800" t="s">
        <v>2726</v>
      </c>
      <c r="AJ363" s="560"/>
      <c r="AK363" s="561"/>
      <c r="AL363" s="561"/>
      <c r="AM363" s="561"/>
      <c r="AN363" s="561"/>
      <c r="AO363" s="801"/>
    </row>
    <row r="364" spans="1:41" ht="13.5">
      <c r="A364" s="831"/>
      <c r="B364" s="831"/>
      <c r="C364" s="831"/>
      <c r="D364" s="831"/>
      <c r="E364" s="831"/>
      <c r="F364" s="831"/>
      <c r="G364" s="1934"/>
      <c r="H364" s="1934"/>
      <c r="I364" s="1934"/>
      <c r="J364" s="1934"/>
      <c r="K364" s="1934"/>
      <c r="L364" s="1934"/>
      <c r="M364" s="1934"/>
      <c r="N364" s="1934"/>
      <c r="O364" s="1934"/>
      <c r="P364" s="1934"/>
      <c r="Q364" s="1934"/>
      <c r="R364" s="1934"/>
      <c r="S364" s="1934"/>
      <c r="T364" s="1934"/>
      <c r="U364" s="1934"/>
      <c r="V364" s="1934"/>
      <c r="W364" s="1934"/>
      <c r="X364" s="1934"/>
      <c r="AH364" s="796" t="str">
        <f>HYPERLINK("#A101：X154")</f>
        <v>#A101：X154</v>
      </c>
      <c r="AI364" s="800" t="s">
        <v>3094</v>
      </c>
      <c r="AJ364" s="562"/>
      <c r="AK364" s="561"/>
      <c r="AL364" s="561"/>
      <c r="AM364" s="561"/>
      <c r="AN364" s="561"/>
      <c r="AO364" s="801"/>
    </row>
    <row r="365" spans="1:41" ht="13.5">
      <c r="A365" s="831"/>
      <c r="B365" s="831"/>
      <c r="C365" s="831"/>
      <c r="D365" s="831"/>
      <c r="E365" s="831"/>
      <c r="F365" s="831"/>
      <c r="G365" s="1934"/>
      <c r="H365" s="1934"/>
      <c r="I365" s="1934"/>
      <c r="J365" s="1934"/>
      <c r="K365" s="1934"/>
      <c r="L365" s="1934"/>
      <c r="M365" s="1934"/>
      <c r="N365" s="1934"/>
      <c r="O365" s="1934"/>
      <c r="P365" s="1934"/>
      <c r="Q365" s="1934"/>
      <c r="R365" s="1934"/>
      <c r="S365" s="1934"/>
      <c r="T365" s="1934"/>
      <c r="U365" s="1934"/>
      <c r="V365" s="1934"/>
      <c r="W365" s="1934"/>
      <c r="X365" s="1934"/>
      <c r="AH365" s="796" t="str">
        <f>HYPERLINK("#A155：X208")</f>
        <v>#A155：X208</v>
      </c>
      <c r="AI365" s="800" t="s">
        <v>3385</v>
      </c>
      <c r="AJ365" s="562"/>
      <c r="AK365" s="561"/>
      <c r="AL365" s="561"/>
      <c r="AM365" s="561"/>
      <c r="AN365" s="561"/>
      <c r="AO365" s="801"/>
    </row>
    <row r="366" spans="1:41" ht="13.5">
      <c r="A366" s="831"/>
      <c r="B366" s="831"/>
      <c r="C366" s="831"/>
      <c r="D366" s="831"/>
      <c r="E366" s="831"/>
      <c r="F366" s="831"/>
      <c r="G366" s="1934"/>
      <c r="H366" s="1934"/>
      <c r="I366" s="1934"/>
      <c r="J366" s="1934"/>
      <c r="K366" s="1934"/>
      <c r="L366" s="1934"/>
      <c r="M366" s="1934"/>
      <c r="N366" s="1934"/>
      <c r="O366" s="1934"/>
      <c r="P366" s="1934"/>
      <c r="Q366" s="1934"/>
      <c r="R366" s="1934"/>
      <c r="S366" s="1934"/>
      <c r="T366" s="1934"/>
      <c r="U366" s="1934"/>
      <c r="V366" s="1934"/>
      <c r="W366" s="1934"/>
      <c r="X366" s="1934"/>
      <c r="AH366" s="796" t="str">
        <f>HYPERLINK("#A209：X262")</f>
        <v>#A209：X262</v>
      </c>
      <c r="AI366" s="800" t="s">
        <v>3098</v>
      </c>
      <c r="AJ366" s="560"/>
      <c r="AK366" s="561"/>
      <c r="AL366" s="561"/>
      <c r="AM366" s="561"/>
      <c r="AN366" s="561"/>
      <c r="AO366" s="801"/>
    </row>
    <row r="367" spans="1:41" ht="13.5">
      <c r="A367" s="831"/>
      <c r="B367" s="831"/>
      <c r="C367" s="831"/>
      <c r="D367" s="831"/>
      <c r="E367" s="831"/>
      <c r="F367" s="831"/>
      <c r="G367" s="1934"/>
      <c r="H367" s="1934"/>
      <c r="I367" s="1934"/>
      <c r="J367" s="1934"/>
      <c r="K367" s="1934"/>
      <c r="L367" s="1934"/>
      <c r="M367" s="1934"/>
      <c r="N367" s="1934"/>
      <c r="O367" s="1934"/>
      <c r="P367" s="1934"/>
      <c r="Q367" s="1934"/>
      <c r="R367" s="1934"/>
      <c r="S367" s="1934"/>
      <c r="T367" s="1934"/>
      <c r="U367" s="1934"/>
      <c r="V367" s="1934"/>
      <c r="W367" s="1934"/>
      <c r="X367" s="1934"/>
      <c r="AH367" s="796" t="str">
        <f>HYPERLINK("#A263：X305")</f>
        <v>#A263：X305</v>
      </c>
      <c r="AI367" s="800" t="s">
        <v>3095</v>
      </c>
      <c r="AJ367" s="562"/>
      <c r="AK367" s="561"/>
      <c r="AL367" s="561"/>
      <c r="AM367" s="561"/>
      <c r="AN367" s="561"/>
      <c r="AO367" s="801"/>
    </row>
    <row r="368" spans="1:41" ht="13.5">
      <c r="A368" s="831"/>
      <c r="B368" s="831"/>
      <c r="C368" s="831"/>
      <c r="D368" s="831"/>
      <c r="E368" s="831"/>
      <c r="F368" s="831"/>
      <c r="G368" s="1934"/>
      <c r="H368" s="1934"/>
      <c r="I368" s="1934"/>
      <c r="J368" s="1934"/>
      <c r="K368" s="1934"/>
      <c r="L368" s="1934"/>
      <c r="M368" s="1934"/>
      <c r="N368" s="1934"/>
      <c r="O368" s="1934"/>
      <c r="P368" s="1934"/>
      <c r="Q368" s="1934"/>
      <c r="R368" s="1934"/>
      <c r="S368" s="1934"/>
      <c r="T368" s="1934"/>
      <c r="U368" s="1934"/>
      <c r="V368" s="1934"/>
      <c r="W368" s="1934"/>
      <c r="X368" s="1934"/>
      <c r="AH368" s="796" t="str">
        <f>HYPERLINK("#A306：X359")</f>
        <v>#A306：X359</v>
      </c>
      <c r="AI368" s="800" t="s">
        <v>3096</v>
      </c>
      <c r="AJ368" s="801"/>
      <c r="AK368" s="801"/>
      <c r="AL368" s="801"/>
      <c r="AM368" s="801"/>
      <c r="AN368" s="801"/>
      <c r="AO368" s="801"/>
    </row>
    <row r="369" spans="1:41" ht="13.5">
      <c r="A369" s="831"/>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AH369" s="796" t="str">
        <f>HYPERLINK("#A360：X413")</f>
        <v>#A360：X413</v>
      </c>
      <c r="AI369" s="800" t="s">
        <v>3387</v>
      </c>
      <c r="AJ369" s="801"/>
      <c r="AK369" s="801"/>
      <c r="AL369" s="801"/>
      <c r="AM369" s="801"/>
      <c r="AN369" s="801"/>
      <c r="AO369" s="801"/>
    </row>
    <row r="370" spans="1:41" ht="12">
      <c r="A370" s="831"/>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row>
    <row r="371" spans="1:41" ht="12">
      <c r="A371" s="831"/>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row>
    <row r="372" spans="1:41" ht="12">
      <c r="A372" s="831"/>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row>
    <row r="373" spans="1:41" ht="12">
      <c r="A373" s="831"/>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row>
    <row r="374" spans="1:41" ht="12">
      <c r="A374" s="831"/>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row>
    <row r="375" spans="1:41" ht="12">
      <c r="A375" s="831"/>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row>
    <row r="376" spans="1:41" ht="12">
      <c r="A376" s="831"/>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row>
    <row r="377" spans="1:41" ht="12">
      <c r="A377" s="831"/>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row>
    <row r="378" spans="1:41" ht="12">
      <c r="A378" s="831"/>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row>
    <row r="379" spans="1:41" ht="12">
      <c r="A379" s="831"/>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row>
    <row r="380" spans="1:41" ht="12">
      <c r="A380" s="831"/>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row>
    <row r="381" spans="1:41" ht="12">
      <c r="A381" s="831"/>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row>
    <row r="382" spans="1:41" ht="12">
      <c r="A382" s="831"/>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row>
    <row r="383" spans="1:41" ht="12">
      <c r="A383" s="831"/>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row>
    <row r="384" spans="1:41" ht="12">
      <c r="A384" s="831"/>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row>
    <row r="385" spans="1:24" ht="12">
      <c r="A385" s="831"/>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row>
    <row r="386" spans="1:24" ht="12">
      <c r="A386" s="831"/>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row>
    <row r="387" spans="1:24" ht="12">
      <c r="A387" s="831"/>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row>
    <row r="388" spans="1:24" ht="12">
      <c r="A388" s="831"/>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row>
    <row r="389" spans="1:24" ht="12">
      <c r="A389" s="831"/>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row>
    <row r="390" spans="1:24" ht="12">
      <c r="A390" s="831"/>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row>
    <row r="391" spans="1:24" ht="12">
      <c r="A391" s="831"/>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row>
    <row r="392" spans="1:24" ht="12">
      <c r="A392" s="831"/>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row>
    <row r="393" spans="1:24" ht="12">
      <c r="A393" s="831"/>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row>
    <row r="394" spans="1:24" ht="12">
      <c r="A394" s="831"/>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row>
    <row r="395" spans="1:24" ht="12">
      <c r="A395" s="831"/>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row>
    <row r="396" spans="1:24" ht="12">
      <c r="A396" s="831"/>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row>
    <row r="397" spans="1:24" ht="12">
      <c r="A397" s="831"/>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row>
    <row r="398" spans="1:24" ht="12">
      <c r="A398" s="831"/>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row>
    <row r="399" spans="1:24" ht="12">
      <c r="A399" s="831"/>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row>
    <row r="400" spans="1:24" ht="12">
      <c r="A400" s="831"/>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row>
    <row r="401" spans="1:24" ht="12">
      <c r="A401" s="831"/>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row>
    <row r="402" spans="1:24" ht="12">
      <c r="A402" s="831"/>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row>
    <row r="403" spans="1:24" ht="12">
      <c r="A403" s="831"/>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row>
    <row r="404" spans="1:24" ht="12">
      <c r="A404" s="831"/>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row>
    <row r="405" spans="1:24" ht="12">
      <c r="A405" s="831"/>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row>
    <row r="406" spans="1:24" ht="12">
      <c r="A406" s="831"/>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row>
    <row r="407" spans="1:24" ht="12">
      <c r="A407" s="831"/>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row>
    <row r="408" spans="1:24" ht="12">
      <c r="A408" s="831"/>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row>
    <row r="409" spans="1:24" ht="12">
      <c r="A409" s="831"/>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row>
    <row r="410" spans="1:24" ht="12">
      <c r="A410" s="831"/>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row>
    <row r="411" spans="1:24" ht="12">
      <c r="A411" s="831"/>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row>
    <row r="412" spans="1:24" ht="12">
      <c r="A412" s="831"/>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row>
    <row r="413" spans="1:24" ht="12">
      <c r="A413" s="831"/>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row>
  </sheetData>
  <mergeCells count="291">
    <mergeCell ref="A360:X360"/>
    <mergeCell ref="B362:J362"/>
    <mergeCell ref="K362:X362"/>
    <mergeCell ref="B363:F363"/>
    <mergeCell ref="G363:X368"/>
    <mergeCell ref="A358:D359"/>
    <mergeCell ref="E358:T359"/>
    <mergeCell ref="A354:D357"/>
    <mergeCell ref="E354:G357"/>
    <mergeCell ref="H354:K357"/>
    <mergeCell ref="L354:N357"/>
    <mergeCell ref="O354:Q357"/>
    <mergeCell ref="R354:T357"/>
    <mergeCell ref="A349:D353"/>
    <mergeCell ref="E349:G353"/>
    <mergeCell ref="H349:K353"/>
    <mergeCell ref="L349:N353"/>
    <mergeCell ref="O349:Q353"/>
    <mergeCell ref="R349:T353"/>
    <mergeCell ref="A345:D348"/>
    <mergeCell ref="E345:G348"/>
    <mergeCell ref="H345:K348"/>
    <mergeCell ref="L345:N348"/>
    <mergeCell ref="O345:Q348"/>
    <mergeCell ref="R345:T348"/>
    <mergeCell ref="A341:D344"/>
    <mergeCell ref="E341:G344"/>
    <mergeCell ref="H341:K344"/>
    <mergeCell ref="L341:N344"/>
    <mergeCell ref="O341:Q344"/>
    <mergeCell ref="R341:T344"/>
    <mergeCell ref="A337:D340"/>
    <mergeCell ref="E337:G340"/>
    <mergeCell ref="H337:K340"/>
    <mergeCell ref="L337:N340"/>
    <mergeCell ref="O337:Q340"/>
    <mergeCell ref="R337:T340"/>
    <mergeCell ref="A334:D336"/>
    <mergeCell ref="E334:G336"/>
    <mergeCell ref="H334:K336"/>
    <mergeCell ref="L334:N336"/>
    <mergeCell ref="O334:Q336"/>
    <mergeCell ref="R334:T336"/>
    <mergeCell ref="A330:D333"/>
    <mergeCell ref="E330:G333"/>
    <mergeCell ref="H330:K333"/>
    <mergeCell ref="L330:N333"/>
    <mergeCell ref="O330:Q333"/>
    <mergeCell ref="R330:T333"/>
    <mergeCell ref="A326:D329"/>
    <mergeCell ref="E326:G329"/>
    <mergeCell ref="H326:K329"/>
    <mergeCell ref="L326:N329"/>
    <mergeCell ref="O326:Q329"/>
    <mergeCell ref="R326:T329"/>
    <mergeCell ref="A320:D325"/>
    <mergeCell ref="E320:G325"/>
    <mergeCell ref="H320:K325"/>
    <mergeCell ref="L320:N325"/>
    <mergeCell ref="O320:Q325"/>
    <mergeCell ref="R320:T325"/>
    <mergeCell ref="A314:D319"/>
    <mergeCell ref="E314:G319"/>
    <mergeCell ref="H314:K319"/>
    <mergeCell ref="L314:N319"/>
    <mergeCell ref="O314:Q319"/>
    <mergeCell ref="R314:T319"/>
    <mergeCell ref="A311:D313"/>
    <mergeCell ref="E311:G313"/>
    <mergeCell ref="H311:K313"/>
    <mergeCell ref="L311:N313"/>
    <mergeCell ref="O311:Q313"/>
    <mergeCell ref="R311:T313"/>
    <mergeCell ref="B293:F293"/>
    <mergeCell ref="G293:X298"/>
    <mergeCell ref="A306:X306"/>
    <mergeCell ref="A308:D310"/>
    <mergeCell ref="E308:G310"/>
    <mergeCell ref="H308:K310"/>
    <mergeCell ref="L308:N310"/>
    <mergeCell ref="O308:Q310"/>
    <mergeCell ref="R308:T310"/>
    <mergeCell ref="U308:X310"/>
    <mergeCell ref="L288:O288"/>
    <mergeCell ref="R288:U288"/>
    <mergeCell ref="L289:O289"/>
    <mergeCell ref="R289:U289"/>
    <mergeCell ref="B292:J292"/>
    <mergeCell ref="K292:X292"/>
    <mergeCell ref="I283:O283"/>
    <mergeCell ref="I284:L284"/>
    <mergeCell ref="L286:O286"/>
    <mergeCell ref="R286:U286"/>
    <mergeCell ref="L287:O287"/>
    <mergeCell ref="R287:U287"/>
    <mergeCell ref="F269:W269"/>
    <mergeCell ref="C277:W277"/>
    <mergeCell ref="J279:N279"/>
    <mergeCell ref="I280:O280"/>
    <mergeCell ref="I281:X281"/>
    <mergeCell ref="I282:O282"/>
    <mergeCell ref="G231:W232"/>
    <mergeCell ref="H233:W233"/>
    <mergeCell ref="G234:W235"/>
    <mergeCell ref="G236:W236"/>
    <mergeCell ref="A263:X263"/>
    <mergeCell ref="F266:W268"/>
    <mergeCell ref="G221:W221"/>
    <mergeCell ref="G222:W223"/>
    <mergeCell ref="H224:W224"/>
    <mergeCell ref="G225:W226"/>
    <mergeCell ref="G227:W227"/>
    <mergeCell ref="G230:W230"/>
    <mergeCell ref="A209:X209"/>
    <mergeCell ref="G212:W212"/>
    <mergeCell ref="G213:W214"/>
    <mergeCell ref="H215:W215"/>
    <mergeCell ref="G216:W217"/>
    <mergeCell ref="G218:W218"/>
    <mergeCell ref="G178:W178"/>
    <mergeCell ref="H179:W179"/>
    <mergeCell ref="G180:W181"/>
    <mergeCell ref="G182:W182"/>
    <mergeCell ref="B185:W185"/>
    <mergeCell ref="B186:W186"/>
    <mergeCell ref="G170:W170"/>
    <mergeCell ref="G171:W171"/>
    <mergeCell ref="J172:W172"/>
    <mergeCell ref="G175:W176"/>
    <mergeCell ref="K177:N177"/>
    <mergeCell ref="O177:P177"/>
    <mergeCell ref="Q177:V177"/>
    <mergeCell ref="G166:H166"/>
    <mergeCell ref="K166:N166"/>
    <mergeCell ref="Q166:V166"/>
    <mergeCell ref="G167:W167"/>
    <mergeCell ref="H168:W168"/>
    <mergeCell ref="G169:W169"/>
    <mergeCell ref="G158:W158"/>
    <mergeCell ref="H159:W159"/>
    <mergeCell ref="G160:W160"/>
    <mergeCell ref="G161:W161"/>
    <mergeCell ref="G162:W162"/>
    <mergeCell ref="J163:W163"/>
    <mergeCell ref="H148:W148"/>
    <mergeCell ref="G149:W150"/>
    <mergeCell ref="G151:W151"/>
    <mergeCell ref="J152:W152"/>
    <mergeCell ref="G157:H157"/>
    <mergeCell ref="K157:N157"/>
    <mergeCell ref="Q157:V157"/>
    <mergeCell ref="G145:W145"/>
    <mergeCell ref="G146:H146"/>
    <mergeCell ref="I146:K146"/>
    <mergeCell ref="L146:N146"/>
    <mergeCell ref="R146:V146"/>
    <mergeCell ref="G147:W147"/>
    <mergeCell ref="H138:W138"/>
    <mergeCell ref="G139:W140"/>
    <mergeCell ref="G141:W141"/>
    <mergeCell ref="J142:W142"/>
    <mergeCell ref="G144:H144"/>
    <mergeCell ref="K144:N144"/>
    <mergeCell ref="Q144:V144"/>
    <mergeCell ref="G135:W135"/>
    <mergeCell ref="G136:H136"/>
    <mergeCell ref="I136:K136"/>
    <mergeCell ref="L136:N136"/>
    <mergeCell ref="R136:V136"/>
    <mergeCell ref="G137:W137"/>
    <mergeCell ref="H128:W128"/>
    <mergeCell ref="G129:W130"/>
    <mergeCell ref="G131:W131"/>
    <mergeCell ref="J132:W132"/>
    <mergeCell ref="G134:H134"/>
    <mergeCell ref="K134:N134"/>
    <mergeCell ref="Q134:V134"/>
    <mergeCell ref="G125:W125"/>
    <mergeCell ref="G126:H126"/>
    <mergeCell ref="I126:K126"/>
    <mergeCell ref="L126:N126"/>
    <mergeCell ref="R126:V126"/>
    <mergeCell ref="G127:W127"/>
    <mergeCell ref="H117:W117"/>
    <mergeCell ref="G118:W119"/>
    <mergeCell ref="G120:W120"/>
    <mergeCell ref="J121:W121"/>
    <mergeCell ref="G124:H124"/>
    <mergeCell ref="K124:N124"/>
    <mergeCell ref="Q124:V124"/>
    <mergeCell ref="G114:W114"/>
    <mergeCell ref="G115:H115"/>
    <mergeCell ref="I115:K115"/>
    <mergeCell ref="L115:N115"/>
    <mergeCell ref="R115:V115"/>
    <mergeCell ref="G116:W116"/>
    <mergeCell ref="H105:W105"/>
    <mergeCell ref="G106:W107"/>
    <mergeCell ref="G108:W108"/>
    <mergeCell ref="J109:W109"/>
    <mergeCell ref="G113:H113"/>
    <mergeCell ref="K113:N113"/>
    <mergeCell ref="Q113:V113"/>
    <mergeCell ref="G102:W102"/>
    <mergeCell ref="G103:H103"/>
    <mergeCell ref="I103:K103"/>
    <mergeCell ref="L103:N103"/>
    <mergeCell ref="R103:V103"/>
    <mergeCell ref="G104:W104"/>
    <mergeCell ref="H95:W95"/>
    <mergeCell ref="G96:W97"/>
    <mergeCell ref="G98:W98"/>
    <mergeCell ref="J99:W99"/>
    <mergeCell ref="G101:H101"/>
    <mergeCell ref="K101:N101"/>
    <mergeCell ref="Q101:V101"/>
    <mergeCell ref="G92:W92"/>
    <mergeCell ref="G93:H93"/>
    <mergeCell ref="I93:K93"/>
    <mergeCell ref="L93:N93"/>
    <mergeCell ref="R93:V93"/>
    <mergeCell ref="G94:W94"/>
    <mergeCell ref="H85:W85"/>
    <mergeCell ref="G86:W87"/>
    <mergeCell ref="G88:W88"/>
    <mergeCell ref="J89:W89"/>
    <mergeCell ref="G91:H91"/>
    <mergeCell ref="K91:N91"/>
    <mergeCell ref="Q91:V91"/>
    <mergeCell ref="G82:W82"/>
    <mergeCell ref="G83:H83"/>
    <mergeCell ref="I83:K83"/>
    <mergeCell ref="L83:N83"/>
    <mergeCell ref="R83:V83"/>
    <mergeCell ref="G84:W84"/>
    <mergeCell ref="H74:W74"/>
    <mergeCell ref="G75:W76"/>
    <mergeCell ref="G77:W77"/>
    <mergeCell ref="J78:W78"/>
    <mergeCell ref="G81:H81"/>
    <mergeCell ref="K81:N81"/>
    <mergeCell ref="Q81:V81"/>
    <mergeCell ref="G71:W71"/>
    <mergeCell ref="G72:H72"/>
    <mergeCell ref="I72:K72"/>
    <mergeCell ref="L72:N72"/>
    <mergeCell ref="R72:V72"/>
    <mergeCell ref="G73:W73"/>
    <mergeCell ref="G62:W62"/>
    <mergeCell ref="H63:W63"/>
    <mergeCell ref="G64:W65"/>
    <mergeCell ref="G66:W66"/>
    <mergeCell ref="G70:H70"/>
    <mergeCell ref="K70:N70"/>
    <mergeCell ref="Q70:V70"/>
    <mergeCell ref="G59:H59"/>
    <mergeCell ref="K59:N59"/>
    <mergeCell ref="Q59:V59"/>
    <mergeCell ref="G60:W60"/>
    <mergeCell ref="G61:H61"/>
    <mergeCell ref="I61:K61"/>
    <mergeCell ref="L61:N61"/>
    <mergeCell ref="R61:V61"/>
    <mergeCell ref="G51:W52"/>
    <mergeCell ref="H53:W53"/>
    <mergeCell ref="G54:W55"/>
    <mergeCell ref="G56:W56"/>
    <mergeCell ref="A44:G44"/>
    <mergeCell ref="R44:X44"/>
    <mergeCell ref="A45:G45"/>
    <mergeCell ref="R45:X45"/>
    <mergeCell ref="A46:G46"/>
    <mergeCell ref="R46:X46"/>
    <mergeCell ref="Q31:W32"/>
    <mergeCell ref="A34:X34"/>
    <mergeCell ref="A43:G43"/>
    <mergeCell ref="H43:K43"/>
    <mergeCell ref="L43:N43"/>
    <mergeCell ref="O43:Q43"/>
    <mergeCell ref="R43:X43"/>
    <mergeCell ref="A47:X47"/>
    <mergeCell ref="G50:W50"/>
    <mergeCell ref="A1:X1"/>
    <mergeCell ref="A4:X5"/>
    <mergeCell ref="A6:X6"/>
    <mergeCell ref="A9:X11"/>
    <mergeCell ref="Q17:R17"/>
    <mergeCell ref="Q22:W23"/>
    <mergeCell ref="Q24:W25"/>
    <mergeCell ref="Q26:W27"/>
    <mergeCell ref="A29:X29"/>
  </mergeCells>
  <phoneticPr fontId="139"/>
  <pageMargins left="0.70866141732283472" right="0.70866141732283472" top="0.74803149606299213" bottom="0.74803149606299213" header="0.31496062992125984" footer="0.31496062992125984"/>
  <pageSetup paperSize="9" orientation="portrait" blackAndWhite="1" r:id="rId1"/>
  <rowBreaks count="7" manualBreakCount="7">
    <brk id="46" max="23" man="1"/>
    <brk id="110" max="23" man="1"/>
    <brk id="173" max="23" man="1"/>
    <brk id="208" max="23" man="1"/>
    <brk id="262" max="23" man="1"/>
    <brk id="305" max="23" man="1"/>
    <brk id="359"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ltText="">
                <anchor moveWithCells="1">
                  <from>
                    <xdr:col>10</xdr:col>
                    <xdr:colOff>28575</xdr:colOff>
                    <xdr:row>34</xdr:row>
                    <xdr:rowOff>180975</xdr:rowOff>
                  </from>
                  <to>
                    <xdr:col>11</xdr:col>
                    <xdr:colOff>57150</xdr:colOff>
                    <xdr:row>36</xdr:row>
                    <xdr:rowOff>9525</xdr:rowOff>
                  </to>
                </anchor>
              </controlPr>
            </control>
          </mc:Choice>
        </mc:AlternateContent>
        <mc:AlternateContent xmlns:mc="http://schemas.openxmlformats.org/markup-compatibility/2006">
          <mc:Choice Requires="x14">
            <control shapeId="49154" r:id="rId5" name="Check Box 2">
              <controlPr defaultSize="0" autoFill="0" autoLine="0" autoPict="0" altText="">
                <anchor moveWithCells="1">
                  <from>
                    <xdr:col>10</xdr:col>
                    <xdr:colOff>38100</xdr:colOff>
                    <xdr:row>33</xdr:row>
                    <xdr:rowOff>171450</xdr:rowOff>
                  </from>
                  <to>
                    <xdr:col>11</xdr:col>
                    <xdr:colOff>66675</xdr:colOff>
                    <xdr:row>35</xdr:row>
                    <xdr:rowOff>0</xdr:rowOff>
                  </to>
                </anchor>
              </controlPr>
            </control>
          </mc:Choice>
        </mc:AlternateContent>
        <mc:AlternateContent xmlns:mc="http://schemas.openxmlformats.org/markup-compatibility/2006">
          <mc:Choice Requires="x14">
            <control shapeId="49155" r:id="rId6" name="Check Box 3">
              <controlPr defaultSize="0" autoFill="0" autoLine="0" autoPict="0" altText="">
                <anchor moveWithCells="1">
                  <from>
                    <xdr:col>2</xdr:col>
                    <xdr:colOff>28575</xdr:colOff>
                    <xdr:row>35</xdr:row>
                    <xdr:rowOff>180975</xdr:rowOff>
                  </from>
                  <to>
                    <xdr:col>3</xdr:col>
                    <xdr:colOff>57150</xdr:colOff>
                    <xdr:row>37</xdr:row>
                    <xdr:rowOff>9525</xdr:rowOff>
                  </to>
                </anchor>
              </controlPr>
            </control>
          </mc:Choice>
        </mc:AlternateContent>
        <mc:AlternateContent xmlns:mc="http://schemas.openxmlformats.org/markup-compatibility/2006">
          <mc:Choice Requires="x14">
            <control shapeId="49156" r:id="rId7" name="Check Box 4">
              <controlPr defaultSize="0" autoFill="0" autoLine="0" autoPict="0" altText="">
                <anchor moveWithCells="1">
                  <from>
                    <xdr:col>10</xdr:col>
                    <xdr:colOff>28575</xdr:colOff>
                    <xdr:row>35</xdr:row>
                    <xdr:rowOff>171450</xdr:rowOff>
                  </from>
                  <to>
                    <xdr:col>11</xdr:col>
                    <xdr:colOff>57150</xdr:colOff>
                    <xdr:row>37</xdr:row>
                    <xdr:rowOff>0</xdr:rowOff>
                  </to>
                </anchor>
              </controlPr>
            </control>
          </mc:Choice>
        </mc:AlternateContent>
        <mc:AlternateContent xmlns:mc="http://schemas.openxmlformats.org/markup-compatibility/2006">
          <mc:Choice Requires="x14">
            <control shapeId="49157" r:id="rId8" name="Check Box 5">
              <controlPr defaultSize="0" autoFill="0" autoLine="0" autoPict="0" altText="">
                <anchor moveWithCells="1">
                  <from>
                    <xdr:col>20</xdr:col>
                    <xdr:colOff>38100</xdr:colOff>
                    <xdr:row>310</xdr:row>
                    <xdr:rowOff>0</xdr:rowOff>
                  </from>
                  <to>
                    <xdr:col>21</xdr:col>
                    <xdr:colOff>66675</xdr:colOff>
                    <xdr:row>311</xdr:row>
                    <xdr:rowOff>19050</xdr:rowOff>
                  </to>
                </anchor>
              </controlPr>
            </control>
          </mc:Choice>
        </mc:AlternateContent>
        <mc:AlternateContent xmlns:mc="http://schemas.openxmlformats.org/markup-compatibility/2006">
          <mc:Choice Requires="x14">
            <control shapeId="49158" r:id="rId9" name="Check Box 6">
              <controlPr defaultSize="0" autoFill="0" autoLine="0" autoPict="0" altText="">
                <anchor moveWithCells="1">
                  <from>
                    <xdr:col>22</xdr:col>
                    <xdr:colOff>38100</xdr:colOff>
                    <xdr:row>310</xdr:row>
                    <xdr:rowOff>0</xdr:rowOff>
                  </from>
                  <to>
                    <xdr:col>23</xdr:col>
                    <xdr:colOff>66675</xdr:colOff>
                    <xdr:row>311</xdr:row>
                    <xdr:rowOff>19050</xdr:rowOff>
                  </to>
                </anchor>
              </controlPr>
            </control>
          </mc:Choice>
        </mc:AlternateContent>
        <mc:AlternateContent xmlns:mc="http://schemas.openxmlformats.org/markup-compatibility/2006">
          <mc:Choice Requires="x14">
            <control shapeId="49159" r:id="rId10" name="Check Box 7">
              <controlPr defaultSize="0" autoFill="0" autoLine="0" autoPict="0" altText="">
                <anchor moveWithCells="1">
                  <from>
                    <xdr:col>20</xdr:col>
                    <xdr:colOff>38100</xdr:colOff>
                    <xdr:row>313</xdr:row>
                    <xdr:rowOff>0</xdr:rowOff>
                  </from>
                  <to>
                    <xdr:col>21</xdr:col>
                    <xdr:colOff>66675</xdr:colOff>
                    <xdr:row>314</xdr:row>
                    <xdr:rowOff>19050</xdr:rowOff>
                  </to>
                </anchor>
              </controlPr>
            </control>
          </mc:Choice>
        </mc:AlternateContent>
        <mc:AlternateContent xmlns:mc="http://schemas.openxmlformats.org/markup-compatibility/2006">
          <mc:Choice Requires="x14">
            <control shapeId="49160" r:id="rId11" name="Check Box 8">
              <controlPr defaultSize="0" autoFill="0" autoLine="0" autoPict="0" altText="">
                <anchor moveWithCells="1">
                  <from>
                    <xdr:col>22</xdr:col>
                    <xdr:colOff>38100</xdr:colOff>
                    <xdr:row>313</xdr:row>
                    <xdr:rowOff>0</xdr:rowOff>
                  </from>
                  <to>
                    <xdr:col>23</xdr:col>
                    <xdr:colOff>66675</xdr:colOff>
                    <xdr:row>314</xdr:row>
                    <xdr:rowOff>19050</xdr:rowOff>
                  </to>
                </anchor>
              </controlPr>
            </control>
          </mc:Choice>
        </mc:AlternateContent>
        <mc:AlternateContent xmlns:mc="http://schemas.openxmlformats.org/markup-compatibility/2006">
          <mc:Choice Requires="x14">
            <control shapeId="49161" r:id="rId12" name="Check Box 9">
              <controlPr defaultSize="0" autoFill="0" autoLine="0" autoPict="0" altText="">
                <anchor moveWithCells="1">
                  <from>
                    <xdr:col>20</xdr:col>
                    <xdr:colOff>38100</xdr:colOff>
                    <xdr:row>319</xdr:row>
                    <xdr:rowOff>0</xdr:rowOff>
                  </from>
                  <to>
                    <xdr:col>21</xdr:col>
                    <xdr:colOff>66675</xdr:colOff>
                    <xdr:row>320</xdr:row>
                    <xdr:rowOff>19050</xdr:rowOff>
                  </to>
                </anchor>
              </controlPr>
            </control>
          </mc:Choice>
        </mc:AlternateContent>
        <mc:AlternateContent xmlns:mc="http://schemas.openxmlformats.org/markup-compatibility/2006">
          <mc:Choice Requires="x14">
            <control shapeId="49162" r:id="rId13" name="Check Box 10">
              <controlPr defaultSize="0" autoFill="0" autoLine="0" autoPict="0" altText="">
                <anchor moveWithCells="1">
                  <from>
                    <xdr:col>22</xdr:col>
                    <xdr:colOff>38100</xdr:colOff>
                    <xdr:row>319</xdr:row>
                    <xdr:rowOff>0</xdr:rowOff>
                  </from>
                  <to>
                    <xdr:col>23</xdr:col>
                    <xdr:colOff>66675</xdr:colOff>
                    <xdr:row>320</xdr:row>
                    <xdr:rowOff>19050</xdr:rowOff>
                  </to>
                </anchor>
              </controlPr>
            </control>
          </mc:Choice>
        </mc:AlternateContent>
        <mc:AlternateContent xmlns:mc="http://schemas.openxmlformats.org/markup-compatibility/2006">
          <mc:Choice Requires="x14">
            <control shapeId="49163" r:id="rId14" name="Check Box 11">
              <controlPr defaultSize="0" autoFill="0" autoLine="0" autoPict="0" altText="">
                <anchor moveWithCells="1">
                  <from>
                    <xdr:col>20</xdr:col>
                    <xdr:colOff>38100</xdr:colOff>
                    <xdr:row>325</xdr:row>
                    <xdr:rowOff>0</xdr:rowOff>
                  </from>
                  <to>
                    <xdr:col>21</xdr:col>
                    <xdr:colOff>66675</xdr:colOff>
                    <xdr:row>326</xdr:row>
                    <xdr:rowOff>19050</xdr:rowOff>
                  </to>
                </anchor>
              </controlPr>
            </control>
          </mc:Choice>
        </mc:AlternateContent>
        <mc:AlternateContent xmlns:mc="http://schemas.openxmlformats.org/markup-compatibility/2006">
          <mc:Choice Requires="x14">
            <control shapeId="49164" r:id="rId15" name="Check Box 12">
              <controlPr defaultSize="0" autoFill="0" autoLine="0" autoPict="0" altText="">
                <anchor moveWithCells="1">
                  <from>
                    <xdr:col>22</xdr:col>
                    <xdr:colOff>38100</xdr:colOff>
                    <xdr:row>325</xdr:row>
                    <xdr:rowOff>0</xdr:rowOff>
                  </from>
                  <to>
                    <xdr:col>23</xdr:col>
                    <xdr:colOff>66675</xdr:colOff>
                    <xdr:row>326</xdr:row>
                    <xdr:rowOff>19050</xdr:rowOff>
                  </to>
                </anchor>
              </controlPr>
            </control>
          </mc:Choice>
        </mc:AlternateContent>
        <mc:AlternateContent xmlns:mc="http://schemas.openxmlformats.org/markup-compatibility/2006">
          <mc:Choice Requires="x14">
            <control shapeId="49165" r:id="rId16" name="Check Box 13">
              <controlPr defaultSize="0" autoFill="0" autoLine="0" autoPict="0" altText="">
                <anchor moveWithCells="1">
                  <from>
                    <xdr:col>20</xdr:col>
                    <xdr:colOff>38100</xdr:colOff>
                    <xdr:row>329</xdr:row>
                    <xdr:rowOff>0</xdr:rowOff>
                  </from>
                  <to>
                    <xdr:col>21</xdr:col>
                    <xdr:colOff>66675</xdr:colOff>
                    <xdr:row>330</xdr:row>
                    <xdr:rowOff>19050</xdr:rowOff>
                  </to>
                </anchor>
              </controlPr>
            </control>
          </mc:Choice>
        </mc:AlternateContent>
        <mc:AlternateContent xmlns:mc="http://schemas.openxmlformats.org/markup-compatibility/2006">
          <mc:Choice Requires="x14">
            <control shapeId="49166" r:id="rId17" name="Check Box 14">
              <controlPr defaultSize="0" autoFill="0" autoLine="0" autoPict="0" altText="">
                <anchor moveWithCells="1">
                  <from>
                    <xdr:col>22</xdr:col>
                    <xdr:colOff>38100</xdr:colOff>
                    <xdr:row>329</xdr:row>
                    <xdr:rowOff>0</xdr:rowOff>
                  </from>
                  <to>
                    <xdr:col>23</xdr:col>
                    <xdr:colOff>66675</xdr:colOff>
                    <xdr:row>330</xdr:row>
                    <xdr:rowOff>19050</xdr:rowOff>
                  </to>
                </anchor>
              </controlPr>
            </control>
          </mc:Choice>
        </mc:AlternateContent>
        <mc:AlternateContent xmlns:mc="http://schemas.openxmlformats.org/markup-compatibility/2006">
          <mc:Choice Requires="x14">
            <control shapeId="49167" r:id="rId18" name="Check Box 15">
              <controlPr defaultSize="0" autoFill="0" autoLine="0" autoPict="0" altText="">
                <anchor moveWithCells="1">
                  <from>
                    <xdr:col>20</xdr:col>
                    <xdr:colOff>38100</xdr:colOff>
                    <xdr:row>333</xdr:row>
                    <xdr:rowOff>0</xdr:rowOff>
                  </from>
                  <to>
                    <xdr:col>21</xdr:col>
                    <xdr:colOff>66675</xdr:colOff>
                    <xdr:row>334</xdr:row>
                    <xdr:rowOff>19050</xdr:rowOff>
                  </to>
                </anchor>
              </controlPr>
            </control>
          </mc:Choice>
        </mc:AlternateContent>
        <mc:AlternateContent xmlns:mc="http://schemas.openxmlformats.org/markup-compatibility/2006">
          <mc:Choice Requires="x14">
            <control shapeId="49168" r:id="rId19" name="Check Box 16">
              <controlPr defaultSize="0" autoFill="0" autoLine="0" autoPict="0" altText="">
                <anchor moveWithCells="1">
                  <from>
                    <xdr:col>22</xdr:col>
                    <xdr:colOff>38100</xdr:colOff>
                    <xdr:row>333</xdr:row>
                    <xdr:rowOff>0</xdr:rowOff>
                  </from>
                  <to>
                    <xdr:col>23</xdr:col>
                    <xdr:colOff>66675</xdr:colOff>
                    <xdr:row>334</xdr:row>
                    <xdr:rowOff>19050</xdr:rowOff>
                  </to>
                </anchor>
              </controlPr>
            </control>
          </mc:Choice>
        </mc:AlternateContent>
        <mc:AlternateContent xmlns:mc="http://schemas.openxmlformats.org/markup-compatibility/2006">
          <mc:Choice Requires="x14">
            <control shapeId="49169" r:id="rId20" name="Check Box 17">
              <controlPr defaultSize="0" autoFill="0" autoLine="0" autoPict="0" altText="">
                <anchor moveWithCells="1">
                  <from>
                    <xdr:col>20</xdr:col>
                    <xdr:colOff>38100</xdr:colOff>
                    <xdr:row>336</xdr:row>
                    <xdr:rowOff>0</xdr:rowOff>
                  </from>
                  <to>
                    <xdr:col>21</xdr:col>
                    <xdr:colOff>66675</xdr:colOff>
                    <xdr:row>337</xdr:row>
                    <xdr:rowOff>19050</xdr:rowOff>
                  </to>
                </anchor>
              </controlPr>
            </control>
          </mc:Choice>
        </mc:AlternateContent>
        <mc:AlternateContent xmlns:mc="http://schemas.openxmlformats.org/markup-compatibility/2006">
          <mc:Choice Requires="x14">
            <control shapeId="49170" r:id="rId21" name="Check Box 18">
              <controlPr defaultSize="0" autoFill="0" autoLine="0" autoPict="0" altText="">
                <anchor moveWithCells="1">
                  <from>
                    <xdr:col>22</xdr:col>
                    <xdr:colOff>38100</xdr:colOff>
                    <xdr:row>336</xdr:row>
                    <xdr:rowOff>0</xdr:rowOff>
                  </from>
                  <to>
                    <xdr:col>23</xdr:col>
                    <xdr:colOff>66675</xdr:colOff>
                    <xdr:row>337</xdr:row>
                    <xdr:rowOff>19050</xdr:rowOff>
                  </to>
                </anchor>
              </controlPr>
            </control>
          </mc:Choice>
        </mc:AlternateContent>
        <mc:AlternateContent xmlns:mc="http://schemas.openxmlformats.org/markup-compatibility/2006">
          <mc:Choice Requires="x14">
            <control shapeId="49171" r:id="rId22" name="Check Box 19">
              <controlPr defaultSize="0" autoFill="0" autoLine="0" autoPict="0" altText="">
                <anchor moveWithCells="1">
                  <from>
                    <xdr:col>20</xdr:col>
                    <xdr:colOff>38100</xdr:colOff>
                    <xdr:row>340</xdr:row>
                    <xdr:rowOff>0</xdr:rowOff>
                  </from>
                  <to>
                    <xdr:col>21</xdr:col>
                    <xdr:colOff>66675</xdr:colOff>
                    <xdr:row>341</xdr:row>
                    <xdr:rowOff>19050</xdr:rowOff>
                  </to>
                </anchor>
              </controlPr>
            </control>
          </mc:Choice>
        </mc:AlternateContent>
        <mc:AlternateContent xmlns:mc="http://schemas.openxmlformats.org/markup-compatibility/2006">
          <mc:Choice Requires="x14">
            <control shapeId="49172" r:id="rId23" name="Check Box 20">
              <controlPr defaultSize="0" autoFill="0" autoLine="0" autoPict="0" altText="">
                <anchor moveWithCells="1">
                  <from>
                    <xdr:col>22</xdr:col>
                    <xdr:colOff>38100</xdr:colOff>
                    <xdr:row>340</xdr:row>
                    <xdr:rowOff>0</xdr:rowOff>
                  </from>
                  <to>
                    <xdr:col>23</xdr:col>
                    <xdr:colOff>66675</xdr:colOff>
                    <xdr:row>341</xdr:row>
                    <xdr:rowOff>19050</xdr:rowOff>
                  </to>
                </anchor>
              </controlPr>
            </control>
          </mc:Choice>
        </mc:AlternateContent>
        <mc:AlternateContent xmlns:mc="http://schemas.openxmlformats.org/markup-compatibility/2006">
          <mc:Choice Requires="x14">
            <control shapeId="49173" r:id="rId24" name="Check Box 21">
              <controlPr defaultSize="0" autoFill="0" autoLine="0" autoPict="0" altText="">
                <anchor moveWithCells="1">
                  <from>
                    <xdr:col>20</xdr:col>
                    <xdr:colOff>38100</xdr:colOff>
                    <xdr:row>344</xdr:row>
                    <xdr:rowOff>0</xdr:rowOff>
                  </from>
                  <to>
                    <xdr:col>21</xdr:col>
                    <xdr:colOff>66675</xdr:colOff>
                    <xdr:row>345</xdr:row>
                    <xdr:rowOff>19050</xdr:rowOff>
                  </to>
                </anchor>
              </controlPr>
            </control>
          </mc:Choice>
        </mc:AlternateContent>
        <mc:AlternateContent xmlns:mc="http://schemas.openxmlformats.org/markup-compatibility/2006">
          <mc:Choice Requires="x14">
            <control shapeId="49174" r:id="rId25" name="Check Box 22">
              <controlPr defaultSize="0" autoFill="0" autoLine="0" autoPict="0" altText="">
                <anchor moveWithCells="1">
                  <from>
                    <xdr:col>22</xdr:col>
                    <xdr:colOff>38100</xdr:colOff>
                    <xdr:row>344</xdr:row>
                    <xdr:rowOff>0</xdr:rowOff>
                  </from>
                  <to>
                    <xdr:col>23</xdr:col>
                    <xdr:colOff>66675</xdr:colOff>
                    <xdr:row>345</xdr:row>
                    <xdr:rowOff>19050</xdr:rowOff>
                  </to>
                </anchor>
              </controlPr>
            </control>
          </mc:Choice>
        </mc:AlternateContent>
        <mc:AlternateContent xmlns:mc="http://schemas.openxmlformats.org/markup-compatibility/2006">
          <mc:Choice Requires="x14">
            <control shapeId="49175" r:id="rId26" name="Check Box 23">
              <controlPr defaultSize="0" autoFill="0" autoLine="0" autoPict="0" altText="">
                <anchor moveWithCells="1">
                  <from>
                    <xdr:col>20</xdr:col>
                    <xdr:colOff>38100</xdr:colOff>
                    <xdr:row>348</xdr:row>
                    <xdr:rowOff>0</xdr:rowOff>
                  </from>
                  <to>
                    <xdr:col>21</xdr:col>
                    <xdr:colOff>66675</xdr:colOff>
                    <xdr:row>349</xdr:row>
                    <xdr:rowOff>19050</xdr:rowOff>
                  </to>
                </anchor>
              </controlPr>
            </control>
          </mc:Choice>
        </mc:AlternateContent>
        <mc:AlternateContent xmlns:mc="http://schemas.openxmlformats.org/markup-compatibility/2006">
          <mc:Choice Requires="x14">
            <control shapeId="49176" r:id="rId27" name="Check Box 24">
              <controlPr defaultSize="0" autoFill="0" autoLine="0" autoPict="0" altText="">
                <anchor moveWithCells="1">
                  <from>
                    <xdr:col>22</xdr:col>
                    <xdr:colOff>38100</xdr:colOff>
                    <xdr:row>348</xdr:row>
                    <xdr:rowOff>0</xdr:rowOff>
                  </from>
                  <to>
                    <xdr:col>23</xdr:col>
                    <xdr:colOff>66675</xdr:colOff>
                    <xdr:row>349</xdr:row>
                    <xdr:rowOff>19050</xdr:rowOff>
                  </to>
                </anchor>
              </controlPr>
            </control>
          </mc:Choice>
        </mc:AlternateContent>
        <mc:AlternateContent xmlns:mc="http://schemas.openxmlformats.org/markup-compatibility/2006">
          <mc:Choice Requires="x14">
            <control shapeId="49177" r:id="rId28" name="Check Box 25">
              <controlPr defaultSize="0" autoFill="0" autoLine="0" autoPict="0" altText="">
                <anchor moveWithCells="1">
                  <from>
                    <xdr:col>20</xdr:col>
                    <xdr:colOff>38100</xdr:colOff>
                    <xdr:row>353</xdr:row>
                    <xdr:rowOff>0</xdr:rowOff>
                  </from>
                  <to>
                    <xdr:col>21</xdr:col>
                    <xdr:colOff>66675</xdr:colOff>
                    <xdr:row>354</xdr:row>
                    <xdr:rowOff>19050</xdr:rowOff>
                  </to>
                </anchor>
              </controlPr>
            </control>
          </mc:Choice>
        </mc:AlternateContent>
        <mc:AlternateContent xmlns:mc="http://schemas.openxmlformats.org/markup-compatibility/2006">
          <mc:Choice Requires="x14">
            <control shapeId="49178" r:id="rId29" name="Check Box 26">
              <controlPr defaultSize="0" autoFill="0" autoLine="0" autoPict="0" altText="">
                <anchor moveWithCells="1">
                  <from>
                    <xdr:col>22</xdr:col>
                    <xdr:colOff>38100</xdr:colOff>
                    <xdr:row>353</xdr:row>
                    <xdr:rowOff>0</xdr:rowOff>
                  </from>
                  <to>
                    <xdr:col>23</xdr:col>
                    <xdr:colOff>66675</xdr:colOff>
                    <xdr:row>354</xdr:row>
                    <xdr:rowOff>19050</xdr:rowOff>
                  </to>
                </anchor>
              </controlPr>
            </control>
          </mc:Choice>
        </mc:AlternateContent>
        <mc:AlternateContent xmlns:mc="http://schemas.openxmlformats.org/markup-compatibility/2006">
          <mc:Choice Requires="x14">
            <control shapeId="49179" r:id="rId30" name="Check Box 27">
              <controlPr defaultSize="0" autoFill="0" autoLine="0" autoPict="0" altText="">
                <anchor moveWithCells="1">
                  <from>
                    <xdr:col>20</xdr:col>
                    <xdr:colOff>38100</xdr:colOff>
                    <xdr:row>357</xdr:row>
                    <xdr:rowOff>0</xdr:rowOff>
                  </from>
                  <to>
                    <xdr:col>21</xdr:col>
                    <xdr:colOff>66675</xdr:colOff>
                    <xdr:row>358</xdr:row>
                    <xdr:rowOff>19050</xdr:rowOff>
                  </to>
                </anchor>
              </controlPr>
            </control>
          </mc:Choice>
        </mc:AlternateContent>
        <mc:AlternateContent xmlns:mc="http://schemas.openxmlformats.org/markup-compatibility/2006">
          <mc:Choice Requires="x14">
            <control shapeId="49180" r:id="rId31" name="Check Box 28">
              <controlPr defaultSize="0" autoFill="0" autoLine="0" autoPict="0" altText="">
                <anchor moveWithCells="1">
                  <from>
                    <xdr:col>22</xdr:col>
                    <xdr:colOff>38100</xdr:colOff>
                    <xdr:row>357</xdr:row>
                    <xdr:rowOff>0</xdr:rowOff>
                  </from>
                  <to>
                    <xdr:col>23</xdr:col>
                    <xdr:colOff>66675</xdr:colOff>
                    <xdr:row>358</xdr:row>
                    <xdr:rowOff>19050</xdr:rowOff>
                  </to>
                </anchor>
              </controlPr>
            </control>
          </mc:Choice>
        </mc:AlternateContent>
        <mc:AlternateContent xmlns:mc="http://schemas.openxmlformats.org/markup-compatibility/2006">
          <mc:Choice Requires="x14">
            <control shapeId="49181" r:id="rId32" name="Check Box 29">
              <controlPr defaultSize="0" autoFill="0" autoLine="0" autoPict="0" altText="">
                <anchor moveWithCells="1">
                  <from>
                    <xdr:col>2</xdr:col>
                    <xdr:colOff>28575</xdr:colOff>
                    <xdr:row>34</xdr:row>
                    <xdr:rowOff>171450</xdr:rowOff>
                  </from>
                  <to>
                    <xdr:col>3</xdr:col>
                    <xdr:colOff>57150</xdr:colOff>
                    <xdr:row>36</xdr:row>
                    <xdr:rowOff>0</xdr:rowOff>
                  </to>
                </anchor>
              </controlPr>
            </control>
          </mc:Choice>
        </mc:AlternateContent>
        <mc:AlternateContent xmlns:mc="http://schemas.openxmlformats.org/markup-compatibility/2006">
          <mc:Choice Requires="x14">
            <control shapeId="49182" r:id="rId33" name="Check Box 30">
              <controlPr defaultSize="0" autoFill="0" autoLine="0" autoPict="0" altText="">
                <anchor moveWithCells="1">
                  <from>
                    <xdr:col>2</xdr:col>
                    <xdr:colOff>28575</xdr:colOff>
                    <xdr:row>33</xdr:row>
                    <xdr:rowOff>171450</xdr:rowOff>
                  </from>
                  <to>
                    <xdr:col>3</xdr:col>
                    <xdr:colOff>57150</xdr:colOff>
                    <xdr:row>35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700-000000000000}">
          <xm:sqref>Q157:V157 JM157:JR157 TI157:TN157 ADE157:ADJ157 ANA157:ANF157 AWW157:AXB157 BGS157:BGX157 BQO157:BQT157 CAK157:CAP157 CKG157:CKL157 CUC157:CUH157 DDY157:DED157 DNU157:DNZ157 DXQ157:DXV157 EHM157:EHR157 ERI157:ERN157 FBE157:FBJ157 FLA157:FLF157 FUW157:FVB157 GES157:GEX157 GOO157:GOT157 GYK157:GYP157 HIG157:HIL157 HSC157:HSH157 IBY157:ICD157 ILU157:ILZ157 IVQ157:IVV157 JFM157:JFR157 JPI157:JPN157 JZE157:JZJ157 KJA157:KJF157 KSW157:KTB157 LCS157:LCX157 LMO157:LMT157 LWK157:LWP157 MGG157:MGL157 MQC157:MQH157 MZY157:NAD157 NJU157:NJZ157 NTQ157:NTV157 ODM157:ODR157 ONI157:ONN157 OXE157:OXJ157 PHA157:PHF157 PQW157:PRB157 QAS157:QAX157 QKO157:QKT157 QUK157:QUP157 REG157:REL157 ROC157:ROH157 RXY157:RYD157 SHU157:SHZ157 SRQ157:SRV157 TBM157:TBR157 TLI157:TLN157 TVE157:TVJ157 UFA157:UFF157 UOW157:UPB157 UYS157:UYX157 VIO157:VIT157 VSK157:VSP157 WCG157:WCL157 WMC157:WMH157 WVY157:WWD157 Q65693:V65693 JM65693:JR65693 TI65693:TN65693 ADE65693:ADJ65693 ANA65693:ANF65693 AWW65693:AXB65693 BGS65693:BGX65693 BQO65693:BQT65693 CAK65693:CAP65693 CKG65693:CKL65693 CUC65693:CUH65693 DDY65693:DED65693 DNU65693:DNZ65693 DXQ65693:DXV65693 EHM65693:EHR65693 ERI65693:ERN65693 FBE65693:FBJ65693 FLA65693:FLF65693 FUW65693:FVB65693 GES65693:GEX65693 GOO65693:GOT65693 GYK65693:GYP65693 HIG65693:HIL65693 HSC65693:HSH65693 IBY65693:ICD65693 ILU65693:ILZ65693 IVQ65693:IVV65693 JFM65693:JFR65693 JPI65693:JPN65693 JZE65693:JZJ65693 KJA65693:KJF65693 KSW65693:KTB65693 LCS65693:LCX65693 LMO65693:LMT65693 LWK65693:LWP65693 MGG65693:MGL65693 MQC65693:MQH65693 MZY65693:NAD65693 NJU65693:NJZ65693 NTQ65693:NTV65693 ODM65693:ODR65693 ONI65693:ONN65693 OXE65693:OXJ65693 PHA65693:PHF65693 PQW65693:PRB65693 QAS65693:QAX65693 QKO65693:QKT65693 QUK65693:QUP65693 REG65693:REL65693 ROC65693:ROH65693 RXY65693:RYD65693 SHU65693:SHZ65693 SRQ65693:SRV65693 TBM65693:TBR65693 TLI65693:TLN65693 TVE65693:TVJ65693 UFA65693:UFF65693 UOW65693:UPB65693 UYS65693:UYX65693 VIO65693:VIT65693 VSK65693:VSP65693 WCG65693:WCL65693 WMC65693:WMH65693 WVY65693:WWD65693 Q131229:V131229 JM131229:JR131229 TI131229:TN131229 ADE131229:ADJ131229 ANA131229:ANF131229 AWW131229:AXB131229 BGS131229:BGX131229 BQO131229:BQT131229 CAK131229:CAP131229 CKG131229:CKL131229 CUC131229:CUH131229 DDY131229:DED131229 DNU131229:DNZ131229 DXQ131229:DXV131229 EHM131229:EHR131229 ERI131229:ERN131229 FBE131229:FBJ131229 FLA131229:FLF131229 FUW131229:FVB131229 GES131229:GEX131229 GOO131229:GOT131229 GYK131229:GYP131229 HIG131229:HIL131229 HSC131229:HSH131229 IBY131229:ICD131229 ILU131229:ILZ131229 IVQ131229:IVV131229 JFM131229:JFR131229 JPI131229:JPN131229 JZE131229:JZJ131229 KJA131229:KJF131229 KSW131229:KTB131229 LCS131229:LCX131229 LMO131229:LMT131229 LWK131229:LWP131229 MGG131229:MGL131229 MQC131229:MQH131229 MZY131229:NAD131229 NJU131229:NJZ131229 NTQ131229:NTV131229 ODM131229:ODR131229 ONI131229:ONN131229 OXE131229:OXJ131229 PHA131229:PHF131229 PQW131229:PRB131229 QAS131229:QAX131229 QKO131229:QKT131229 QUK131229:QUP131229 REG131229:REL131229 ROC131229:ROH131229 RXY131229:RYD131229 SHU131229:SHZ131229 SRQ131229:SRV131229 TBM131229:TBR131229 TLI131229:TLN131229 TVE131229:TVJ131229 UFA131229:UFF131229 UOW131229:UPB131229 UYS131229:UYX131229 VIO131229:VIT131229 VSK131229:VSP131229 WCG131229:WCL131229 WMC131229:WMH131229 WVY131229:WWD131229 Q196765:V196765 JM196765:JR196765 TI196765:TN196765 ADE196765:ADJ196765 ANA196765:ANF196765 AWW196765:AXB196765 BGS196765:BGX196765 BQO196765:BQT196765 CAK196765:CAP196765 CKG196765:CKL196765 CUC196765:CUH196765 DDY196765:DED196765 DNU196765:DNZ196765 DXQ196765:DXV196765 EHM196765:EHR196765 ERI196765:ERN196765 FBE196765:FBJ196765 FLA196765:FLF196765 FUW196765:FVB196765 GES196765:GEX196765 GOO196765:GOT196765 GYK196765:GYP196765 HIG196765:HIL196765 HSC196765:HSH196765 IBY196765:ICD196765 ILU196765:ILZ196765 IVQ196765:IVV196765 JFM196765:JFR196765 JPI196765:JPN196765 JZE196765:JZJ196765 KJA196765:KJF196765 KSW196765:KTB196765 LCS196765:LCX196765 LMO196765:LMT196765 LWK196765:LWP196765 MGG196765:MGL196765 MQC196765:MQH196765 MZY196765:NAD196765 NJU196765:NJZ196765 NTQ196765:NTV196765 ODM196765:ODR196765 ONI196765:ONN196765 OXE196765:OXJ196765 PHA196765:PHF196765 PQW196765:PRB196765 QAS196765:QAX196765 QKO196765:QKT196765 QUK196765:QUP196765 REG196765:REL196765 ROC196765:ROH196765 RXY196765:RYD196765 SHU196765:SHZ196765 SRQ196765:SRV196765 TBM196765:TBR196765 TLI196765:TLN196765 TVE196765:TVJ196765 UFA196765:UFF196765 UOW196765:UPB196765 UYS196765:UYX196765 VIO196765:VIT196765 VSK196765:VSP196765 WCG196765:WCL196765 WMC196765:WMH196765 WVY196765:WWD196765 Q262301:V262301 JM262301:JR262301 TI262301:TN262301 ADE262301:ADJ262301 ANA262301:ANF262301 AWW262301:AXB262301 BGS262301:BGX262301 BQO262301:BQT262301 CAK262301:CAP262301 CKG262301:CKL262301 CUC262301:CUH262301 DDY262301:DED262301 DNU262301:DNZ262301 DXQ262301:DXV262301 EHM262301:EHR262301 ERI262301:ERN262301 FBE262301:FBJ262301 FLA262301:FLF262301 FUW262301:FVB262301 GES262301:GEX262301 GOO262301:GOT262301 GYK262301:GYP262301 HIG262301:HIL262301 HSC262301:HSH262301 IBY262301:ICD262301 ILU262301:ILZ262301 IVQ262301:IVV262301 JFM262301:JFR262301 JPI262301:JPN262301 JZE262301:JZJ262301 KJA262301:KJF262301 KSW262301:KTB262301 LCS262301:LCX262301 LMO262301:LMT262301 LWK262301:LWP262301 MGG262301:MGL262301 MQC262301:MQH262301 MZY262301:NAD262301 NJU262301:NJZ262301 NTQ262301:NTV262301 ODM262301:ODR262301 ONI262301:ONN262301 OXE262301:OXJ262301 PHA262301:PHF262301 PQW262301:PRB262301 QAS262301:QAX262301 QKO262301:QKT262301 QUK262301:QUP262301 REG262301:REL262301 ROC262301:ROH262301 RXY262301:RYD262301 SHU262301:SHZ262301 SRQ262301:SRV262301 TBM262301:TBR262301 TLI262301:TLN262301 TVE262301:TVJ262301 UFA262301:UFF262301 UOW262301:UPB262301 UYS262301:UYX262301 VIO262301:VIT262301 VSK262301:VSP262301 WCG262301:WCL262301 WMC262301:WMH262301 WVY262301:WWD262301 Q327837:V327837 JM327837:JR327837 TI327837:TN327837 ADE327837:ADJ327837 ANA327837:ANF327837 AWW327837:AXB327837 BGS327837:BGX327837 BQO327837:BQT327837 CAK327837:CAP327837 CKG327837:CKL327837 CUC327837:CUH327837 DDY327837:DED327837 DNU327837:DNZ327837 DXQ327837:DXV327837 EHM327837:EHR327837 ERI327837:ERN327837 FBE327837:FBJ327837 FLA327837:FLF327837 FUW327837:FVB327837 GES327837:GEX327837 GOO327837:GOT327837 GYK327837:GYP327837 HIG327837:HIL327837 HSC327837:HSH327837 IBY327837:ICD327837 ILU327837:ILZ327837 IVQ327837:IVV327837 JFM327837:JFR327837 JPI327837:JPN327837 JZE327837:JZJ327837 KJA327837:KJF327837 KSW327837:KTB327837 LCS327837:LCX327837 LMO327837:LMT327837 LWK327837:LWP327837 MGG327837:MGL327837 MQC327837:MQH327837 MZY327837:NAD327837 NJU327837:NJZ327837 NTQ327837:NTV327837 ODM327837:ODR327837 ONI327837:ONN327837 OXE327837:OXJ327837 PHA327837:PHF327837 PQW327837:PRB327837 QAS327837:QAX327837 QKO327837:QKT327837 QUK327837:QUP327837 REG327837:REL327837 ROC327837:ROH327837 RXY327837:RYD327837 SHU327837:SHZ327837 SRQ327837:SRV327837 TBM327837:TBR327837 TLI327837:TLN327837 TVE327837:TVJ327837 UFA327837:UFF327837 UOW327837:UPB327837 UYS327837:UYX327837 VIO327837:VIT327837 VSK327837:VSP327837 WCG327837:WCL327837 WMC327837:WMH327837 WVY327837:WWD327837 Q393373:V393373 JM393373:JR393373 TI393373:TN393373 ADE393373:ADJ393373 ANA393373:ANF393373 AWW393373:AXB393373 BGS393373:BGX393373 BQO393373:BQT393373 CAK393373:CAP393373 CKG393373:CKL393373 CUC393373:CUH393373 DDY393373:DED393373 DNU393373:DNZ393373 DXQ393373:DXV393373 EHM393373:EHR393373 ERI393373:ERN393373 FBE393373:FBJ393373 FLA393373:FLF393373 FUW393373:FVB393373 GES393373:GEX393373 GOO393373:GOT393373 GYK393373:GYP393373 HIG393373:HIL393373 HSC393373:HSH393373 IBY393373:ICD393373 ILU393373:ILZ393373 IVQ393373:IVV393373 JFM393373:JFR393373 JPI393373:JPN393373 JZE393373:JZJ393373 KJA393373:KJF393373 KSW393373:KTB393373 LCS393373:LCX393373 LMO393373:LMT393373 LWK393373:LWP393373 MGG393373:MGL393373 MQC393373:MQH393373 MZY393373:NAD393373 NJU393373:NJZ393373 NTQ393373:NTV393373 ODM393373:ODR393373 ONI393373:ONN393373 OXE393373:OXJ393373 PHA393373:PHF393373 PQW393373:PRB393373 QAS393373:QAX393373 QKO393373:QKT393373 QUK393373:QUP393373 REG393373:REL393373 ROC393373:ROH393373 RXY393373:RYD393373 SHU393373:SHZ393373 SRQ393373:SRV393373 TBM393373:TBR393373 TLI393373:TLN393373 TVE393373:TVJ393373 UFA393373:UFF393373 UOW393373:UPB393373 UYS393373:UYX393373 VIO393373:VIT393373 VSK393373:VSP393373 WCG393373:WCL393373 WMC393373:WMH393373 WVY393373:WWD393373 Q458909:V458909 JM458909:JR458909 TI458909:TN458909 ADE458909:ADJ458909 ANA458909:ANF458909 AWW458909:AXB458909 BGS458909:BGX458909 BQO458909:BQT458909 CAK458909:CAP458909 CKG458909:CKL458909 CUC458909:CUH458909 DDY458909:DED458909 DNU458909:DNZ458909 DXQ458909:DXV458909 EHM458909:EHR458909 ERI458909:ERN458909 FBE458909:FBJ458909 FLA458909:FLF458909 FUW458909:FVB458909 GES458909:GEX458909 GOO458909:GOT458909 GYK458909:GYP458909 HIG458909:HIL458909 HSC458909:HSH458909 IBY458909:ICD458909 ILU458909:ILZ458909 IVQ458909:IVV458909 JFM458909:JFR458909 JPI458909:JPN458909 JZE458909:JZJ458909 KJA458909:KJF458909 KSW458909:KTB458909 LCS458909:LCX458909 LMO458909:LMT458909 LWK458909:LWP458909 MGG458909:MGL458909 MQC458909:MQH458909 MZY458909:NAD458909 NJU458909:NJZ458909 NTQ458909:NTV458909 ODM458909:ODR458909 ONI458909:ONN458909 OXE458909:OXJ458909 PHA458909:PHF458909 PQW458909:PRB458909 QAS458909:QAX458909 QKO458909:QKT458909 QUK458909:QUP458909 REG458909:REL458909 ROC458909:ROH458909 RXY458909:RYD458909 SHU458909:SHZ458909 SRQ458909:SRV458909 TBM458909:TBR458909 TLI458909:TLN458909 TVE458909:TVJ458909 UFA458909:UFF458909 UOW458909:UPB458909 UYS458909:UYX458909 VIO458909:VIT458909 VSK458909:VSP458909 WCG458909:WCL458909 WMC458909:WMH458909 WVY458909:WWD458909 Q524445:V524445 JM524445:JR524445 TI524445:TN524445 ADE524445:ADJ524445 ANA524445:ANF524445 AWW524445:AXB524445 BGS524445:BGX524445 BQO524445:BQT524445 CAK524445:CAP524445 CKG524445:CKL524445 CUC524445:CUH524445 DDY524445:DED524445 DNU524445:DNZ524445 DXQ524445:DXV524445 EHM524445:EHR524445 ERI524445:ERN524445 FBE524445:FBJ524445 FLA524445:FLF524445 FUW524445:FVB524445 GES524445:GEX524445 GOO524445:GOT524445 GYK524445:GYP524445 HIG524445:HIL524445 HSC524445:HSH524445 IBY524445:ICD524445 ILU524445:ILZ524445 IVQ524445:IVV524445 JFM524445:JFR524445 JPI524445:JPN524445 JZE524445:JZJ524445 KJA524445:KJF524445 KSW524445:KTB524445 LCS524445:LCX524445 LMO524445:LMT524445 LWK524445:LWP524445 MGG524445:MGL524445 MQC524445:MQH524445 MZY524445:NAD524445 NJU524445:NJZ524445 NTQ524445:NTV524445 ODM524445:ODR524445 ONI524445:ONN524445 OXE524445:OXJ524445 PHA524445:PHF524445 PQW524445:PRB524445 QAS524445:QAX524445 QKO524445:QKT524445 QUK524445:QUP524445 REG524445:REL524445 ROC524445:ROH524445 RXY524445:RYD524445 SHU524445:SHZ524445 SRQ524445:SRV524445 TBM524445:TBR524445 TLI524445:TLN524445 TVE524445:TVJ524445 UFA524445:UFF524445 UOW524445:UPB524445 UYS524445:UYX524445 VIO524445:VIT524445 VSK524445:VSP524445 WCG524445:WCL524445 WMC524445:WMH524445 WVY524445:WWD524445 Q589981:V589981 JM589981:JR589981 TI589981:TN589981 ADE589981:ADJ589981 ANA589981:ANF589981 AWW589981:AXB589981 BGS589981:BGX589981 BQO589981:BQT589981 CAK589981:CAP589981 CKG589981:CKL589981 CUC589981:CUH589981 DDY589981:DED589981 DNU589981:DNZ589981 DXQ589981:DXV589981 EHM589981:EHR589981 ERI589981:ERN589981 FBE589981:FBJ589981 FLA589981:FLF589981 FUW589981:FVB589981 GES589981:GEX589981 GOO589981:GOT589981 GYK589981:GYP589981 HIG589981:HIL589981 HSC589981:HSH589981 IBY589981:ICD589981 ILU589981:ILZ589981 IVQ589981:IVV589981 JFM589981:JFR589981 JPI589981:JPN589981 JZE589981:JZJ589981 KJA589981:KJF589981 KSW589981:KTB589981 LCS589981:LCX589981 LMO589981:LMT589981 LWK589981:LWP589981 MGG589981:MGL589981 MQC589981:MQH589981 MZY589981:NAD589981 NJU589981:NJZ589981 NTQ589981:NTV589981 ODM589981:ODR589981 ONI589981:ONN589981 OXE589981:OXJ589981 PHA589981:PHF589981 PQW589981:PRB589981 QAS589981:QAX589981 QKO589981:QKT589981 QUK589981:QUP589981 REG589981:REL589981 ROC589981:ROH589981 RXY589981:RYD589981 SHU589981:SHZ589981 SRQ589981:SRV589981 TBM589981:TBR589981 TLI589981:TLN589981 TVE589981:TVJ589981 UFA589981:UFF589981 UOW589981:UPB589981 UYS589981:UYX589981 VIO589981:VIT589981 VSK589981:VSP589981 WCG589981:WCL589981 WMC589981:WMH589981 WVY589981:WWD589981 Q655517:V655517 JM655517:JR655517 TI655517:TN655517 ADE655517:ADJ655517 ANA655517:ANF655517 AWW655517:AXB655517 BGS655517:BGX655517 BQO655517:BQT655517 CAK655517:CAP655517 CKG655517:CKL655517 CUC655517:CUH655517 DDY655517:DED655517 DNU655517:DNZ655517 DXQ655517:DXV655517 EHM655517:EHR655517 ERI655517:ERN655517 FBE655517:FBJ655517 FLA655517:FLF655517 FUW655517:FVB655517 GES655517:GEX655517 GOO655517:GOT655517 GYK655517:GYP655517 HIG655517:HIL655517 HSC655517:HSH655517 IBY655517:ICD655517 ILU655517:ILZ655517 IVQ655517:IVV655517 JFM655517:JFR655517 JPI655517:JPN655517 JZE655517:JZJ655517 KJA655517:KJF655517 KSW655517:KTB655517 LCS655517:LCX655517 LMO655517:LMT655517 LWK655517:LWP655517 MGG655517:MGL655517 MQC655517:MQH655517 MZY655517:NAD655517 NJU655517:NJZ655517 NTQ655517:NTV655517 ODM655517:ODR655517 ONI655517:ONN655517 OXE655517:OXJ655517 PHA655517:PHF655517 PQW655517:PRB655517 QAS655517:QAX655517 QKO655517:QKT655517 QUK655517:QUP655517 REG655517:REL655517 ROC655517:ROH655517 RXY655517:RYD655517 SHU655517:SHZ655517 SRQ655517:SRV655517 TBM655517:TBR655517 TLI655517:TLN655517 TVE655517:TVJ655517 UFA655517:UFF655517 UOW655517:UPB655517 UYS655517:UYX655517 VIO655517:VIT655517 VSK655517:VSP655517 WCG655517:WCL655517 WMC655517:WMH655517 WVY655517:WWD655517 Q721053:V721053 JM721053:JR721053 TI721053:TN721053 ADE721053:ADJ721053 ANA721053:ANF721053 AWW721053:AXB721053 BGS721053:BGX721053 BQO721053:BQT721053 CAK721053:CAP721053 CKG721053:CKL721053 CUC721053:CUH721053 DDY721053:DED721053 DNU721053:DNZ721053 DXQ721053:DXV721053 EHM721053:EHR721053 ERI721053:ERN721053 FBE721053:FBJ721053 FLA721053:FLF721053 FUW721053:FVB721053 GES721053:GEX721053 GOO721053:GOT721053 GYK721053:GYP721053 HIG721053:HIL721053 HSC721053:HSH721053 IBY721053:ICD721053 ILU721053:ILZ721053 IVQ721053:IVV721053 JFM721053:JFR721053 JPI721053:JPN721053 JZE721053:JZJ721053 KJA721053:KJF721053 KSW721053:KTB721053 LCS721053:LCX721053 LMO721053:LMT721053 LWK721053:LWP721053 MGG721053:MGL721053 MQC721053:MQH721053 MZY721053:NAD721053 NJU721053:NJZ721053 NTQ721053:NTV721053 ODM721053:ODR721053 ONI721053:ONN721053 OXE721053:OXJ721053 PHA721053:PHF721053 PQW721053:PRB721053 QAS721053:QAX721053 QKO721053:QKT721053 QUK721053:QUP721053 REG721053:REL721053 ROC721053:ROH721053 RXY721053:RYD721053 SHU721053:SHZ721053 SRQ721053:SRV721053 TBM721053:TBR721053 TLI721053:TLN721053 TVE721053:TVJ721053 UFA721053:UFF721053 UOW721053:UPB721053 UYS721053:UYX721053 VIO721053:VIT721053 VSK721053:VSP721053 WCG721053:WCL721053 WMC721053:WMH721053 WVY721053:WWD721053 Q786589:V786589 JM786589:JR786589 TI786589:TN786589 ADE786589:ADJ786589 ANA786589:ANF786589 AWW786589:AXB786589 BGS786589:BGX786589 BQO786589:BQT786589 CAK786589:CAP786589 CKG786589:CKL786589 CUC786589:CUH786589 DDY786589:DED786589 DNU786589:DNZ786589 DXQ786589:DXV786589 EHM786589:EHR786589 ERI786589:ERN786589 FBE786589:FBJ786589 FLA786589:FLF786589 FUW786589:FVB786589 GES786589:GEX786589 GOO786589:GOT786589 GYK786589:GYP786589 HIG786589:HIL786589 HSC786589:HSH786589 IBY786589:ICD786589 ILU786589:ILZ786589 IVQ786589:IVV786589 JFM786589:JFR786589 JPI786589:JPN786589 JZE786589:JZJ786589 KJA786589:KJF786589 KSW786589:KTB786589 LCS786589:LCX786589 LMO786589:LMT786589 LWK786589:LWP786589 MGG786589:MGL786589 MQC786589:MQH786589 MZY786589:NAD786589 NJU786589:NJZ786589 NTQ786589:NTV786589 ODM786589:ODR786589 ONI786589:ONN786589 OXE786589:OXJ786589 PHA786589:PHF786589 PQW786589:PRB786589 QAS786589:QAX786589 QKO786589:QKT786589 QUK786589:QUP786589 REG786589:REL786589 ROC786589:ROH786589 RXY786589:RYD786589 SHU786589:SHZ786589 SRQ786589:SRV786589 TBM786589:TBR786589 TLI786589:TLN786589 TVE786589:TVJ786589 UFA786589:UFF786589 UOW786589:UPB786589 UYS786589:UYX786589 VIO786589:VIT786589 VSK786589:VSP786589 WCG786589:WCL786589 WMC786589:WMH786589 WVY786589:WWD786589 Q852125:V852125 JM852125:JR852125 TI852125:TN852125 ADE852125:ADJ852125 ANA852125:ANF852125 AWW852125:AXB852125 BGS852125:BGX852125 BQO852125:BQT852125 CAK852125:CAP852125 CKG852125:CKL852125 CUC852125:CUH852125 DDY852125:DED852125 DNU852125:DNZ852125 DXQ852125:DXV852125 EHM852125:EHR852125 ERI852125:ERN852125 FBE852125:FBJ852125 FLA852125:FLF852125 FUW852125:FVB852125 GES852125:GEX852125 GOO852125:GOT852125 GYK852125:GYP852125 HIG852125:HIL852125 HSC852125:HSH852125 IBY852125:ICD852125 ILU852125:ILZ852125 IVQ852125:IVV852125 JFM852125:JFR852125 JPI852125:JPN852125 JZE852125:JZJ852125 KJA852125:KJF852125 KSW852125:KTB852125 LCS852125:LCX852125 LMO852125:LMT852125 LWK852125:LWP852125 MGG852125:MGL852125 MQC852125:MQH852125 MZY852125:NAD852125 NJU852125:NJZ852125 NTQ852125:NTV852125 ODM852125:ODR852125 ONI852125:ONN852125 OXE852125:OXJ852125 PHA852125:PHF852125 PQW852125:PRB852125 QAS852125:QAX852125 QKO852125:QKT852125 QUK852125:QUP852125 REG852125:REL852125 ROC852125:ROH852125 RXY852125:RYD852125 SHU852125:SHZ852125 SRQ852125:SRV852125 TBM852125:TBR852125 TLI852125:TLN852125 TVE852125:TVJ852125 UFA852125:UFF852125 UOW852125:UPB852125 UYS852125:UYX852125 VIO852125:VIT852125 VSK852125:VSP852125 WCG852125:WCL852125 WMC852125:WMH852125 WVY852125:WWD852125 Q917661:V917661 JM917661:JR917661 TI917661:TN917661 ADE917661:ADJ917661 ANA917661:ANF917661 AWW917661:AXB917661 BGS917661:BGX917661 BQO917661:BQT917661 CAK917661:CAP917661 CKG917661:CKL917661 CUC917661:CUH917661 DDY917661:DED917661 DNU917661:DNZ917661 DXQ917661:DXV917661 EHM917661:EHR917661 ERI917661:ERN917661 FBE917661:FBJ917661 FLA917661:FLF917661 FUW917661:FVB917661 GES917661:GEX917661 GOO917661:GOT917661 GYK917661:GYP917661 HIG917661:HIL917661 HSC917661:HSH917661 IBY917661:ICD917661 ILU917661:ILZ917661 IVQ917661:IVV917661 JFM917661:JFR917661 JPI917661:JPN917661 JZE917661:JZJ917661 KJA917661:KJF917661 KSW917661:KTB917661 LCS917661:LCX917661 LMO917661:LMT917661 LWK917661:LWP917661 MGG917661:MGL917661 MQC917661:MQH917661 MZY917661:NAD917661 NJU917661:NJZ917661 NTQ917661:NTV917661 ODM917661:ODR917661 ONI917661:ONN917661 OXE917661:OXJ917661 PHA917661:PHF917661 PQW917661:PRB917661 QAS917661:QAX917661 QKO917661:QKT917661 QUK917661:QUP917661 REG917661:REL917661 ROC917661:ROH917661 RXY917661:RYD917661 SHU917661:SHZ917661 SRQ917661:SRV917661 TBM917661:TBR917661 TLI917661:TLN917661 TVE917661:TVJ917661 UFA917661:UFF917661 UOW917661:UPB917661 UYS917661:UYX917661 VIO917661:VIT917661 VSK917661:VSP917661 WCG917661:WCL917661 WMC917661:WMH917661 WVY917661:WWD917661 Q983197:V983197 JM983197:JR983197 TI983197:TN983197 ADE983197:ADJ983197 ANA983197:ANF983197 AWW983197:AXB983197 BGS983197:BGX983197 BQO983197:BQT983197 CAK983197:CAP983197 CKG983197:CKL983197 CUC983197:CUH983197 DDY983197:DED983197 DNU983197:DNZ983197 DXQ983197:DXV983197 EHM983197:EHR983197 ERI983197:ERN983197 FBE983197:FBJ983197 FLA983197:FLF983197 FUW983197:FVB983197 GES983197:GEX983197 GOO983197:GOT983197 GYK983197:GYP983197 HIG983197:HIL983197 HSC983197:HSH983197 IBY983197:ICD983197 ILU983197:ILZ983197 IVQ983197:IVV983197 JFM983197:JFR983197 JPI983197:JPN983197 JZE983197:JZJ983197 KJA983197:KJF983197 KSW983197:KTB983197 LCS983197:LCX983197 LMO983197:LMT983197 LWK983197:LWP983197 MGG983197:MGL983197 MQC983197:MQH983197 MZY983197:NAD983197 NJU983197:NJZ983197 NTQ983197:NTV983197 ODM983197:ODR983197 ONI983197:ONN983197 OXE983197:OXJ983197 PHA983197:PHF983197 PQW983197:PRB983197 QAS983197:QAX983197 QKO983197:QKT983197 QUK983197:QUP983197 REG983197:REL983197 ROC983197:ROH983197 RXY983197:RYD983197 SHU983197:SHZ983197 SRQ983197:SRV983197 TBM983197:TBR983197 TLI983197:TLN983197 TVE983197:TVJ983197 UFA983197:UFF983197 UOW983197:UPB983197 UYS983197:UYX983197 VIO983197:VIT983197 VSK983197:VSP983197 WCG983197:WCL983197 WMC983197:WMH983197 WVY983197:WWD983197 G182:W182 JC182:JS182 SY182:TO182 ACU182:ADK182 AMQ182:ANG182 AWM182:AXC182 BGI182:BGY182 BQE182:BQU182 CAA182:CAQ182 CJW182:CKM182 CTS182:CUI182 DDO182:DEE182 DNK182:DOA182 DXG182:DXW182 EHC182:EHS182 EQY182:ERO182 FAU182:FBK182 FKQ182:FLG182 FUM182:FVC182 GEI182:GEY182 GOE182:GOU182 GYA182:GYQ182 HHW182:HIM182 HRS182:HSI182 IBO182:ICE182 ILK182:IMA182 IVG182:IVW182 JFC182:JFS182 JOY182:JPO182 JYU182:JZK182 KIQ182:KJG182 KSM182:KTC182 LCI182:LCY182 LME182:LMU182 LWA182:LWQ182 MFW182:MGM182 MPS182:MQI182 MZO182:NAE182 NJK182:NKA182 NTG182:NTW182 ODC182:ODS182 OMY182:ONO182 OWU182:OXK182 PGQ182:PHG182 PQM182:PRC182 QAI182:QAY182 QKE182:QKU182 QUA182:QUQ182 RDW182:REM182 RNS182:ROI182 RXO182:RYE182 SHK182:SIA182 SRG182:SRW182 TBC182:TBS182 TKY182:TLO182 TUU182:TVK182 UEQ182:UFG182 UOM182:UPC182 UYI182:UYY182 VIE182:VIU182 VSA182:VSQ182 WBW182:WCM182 WLS182:WMI182 WVO182:WWE182 G65718:W65718 JC65718:JS65718 SY65718:TO65718 ACU65718:ADK65718 AMQ65718:ANG65718 AWM65718:AXC65718 BGI65718:BGY65718 BQE65718:BQU65718 CAA65718:CAQ65718 CJW65718:CKM65718 CTS65718:CUI65718 DDO65718:DEE65718 DNK65718:DOA65718 DXG65718:DXW65718 EHC65718:EHS65718 EQY65718:ERO65718 FAU65718:FBK65718 FKQ65718:FLG65718 FUM65718:FVC65718 GEI65718:GEY65718 GOE65718:GOU65718 GYA65718:GYQ65718 HHW65718:HIM65718 HRS65718:HSI65718 IBO65718:ICE65718 ILK65718:IMA65718 IVG65718:IVW65718 JFC65718:JFS65718 JOY65718:JPO65718 JYU65718:JZK65718 KIQ65718:KJG65718 KSM65718:KTC65718 LCI65718:LCY65718 LME65718:LMU65718 LWA65718:LWQ65718 MFW65718:MGM65718 MPS65718:MQI65718 MZO65718:NAE65718 NJK65718:NKA65718 NTG65718:NTW65718 ODC65718:ODS65718 OMY65718:ONO65718 OWU65718:OXK65718 PGQ65718:PHG65718 PQM65718:PRC65718 QAI65718:QAY65718 QKE65718:QKU65718 QUA65718:QUQ65718 RDW65718:REM65718 RNS65718:ROI65718 RXO65718:RYE65718 SHK65718:SIA65718 SRG65718:SRW65718 TBC65718:TBS65718 TKY65718:TLO65718 TUU65718:TVK65718 UEQ65718:UFG65718 UOM65718:UPC65718 UYI65718:UYY65718 VIE65718:VIU65718 VSA65718:VSQ65718 WBW65718:WCM65718 WLS65718:WMI65718 WVO65718:WWE65718 G131254:W131254 JC131254:JS131254 SY131254:TO131254 ACU131254:ADK131254 AMQ131254:ANG131254 AWM131254:AXC131254 BGI131254:BGY131254 BQE131254:BQU131254 CAA131254:CAQ131254 CJW131254:CKM131254 CTS131254:CUI131254 DDO131254:DEE131254 DNK131254:DOA131254 DXG131254:DXW131254 EHC131254:EHS131254 EQY131254:ERO131254 FAU131254:FBK131254 FKQ131254:FLG131254 FUM131254:FVC131254 GEI131254:GEY131254 GOE131254:GOU131254 GYA131254:GYQ131254 HHW131254:HIM131254 HRS131254:HSI131254 IBO131254:ICE131254 ILK131254:IMA131254 IVG131254:IVW131254 JFC131254:JFS131254 JOY131254:JPO131254 JYU131254:JZK131254 KIQ131254:KJG131254 KSM131254:KTC131254 LCI131254:LCY131254 LME131254:LMU131254 LWA131254:LWQ131254 MFW131254:MGM131254 MPS131254:MQI131254 MZO131254:NAE131254 NJK131254:NKA131254 NTG131254:NTW131254 ODC131254:ODS131254 OMY131254:ONO131254 OWU131254:OXK131254 PGQ131254:PHG131254 PQM131254:PRC131254 QAI131254:QAY131254 QKE131254:QKU131254 QUA131254:QUQ131254 RDW131254:REM131254 RNS131254:ROI131254 RXO131254:RYE131254 SHK131254:SIA131254 SRG131254:SRW131254 TBC131254:TBS131254 TKY131254:TLO131254 TUU131254:TVK131254 UEQ131254:UFG131254 UOM131254:UPC131254 UYI131254:UYY131254 VIE131254:VIU131254 VSA131254:VSQ131254 WBW131254:WCM131254 WLS131254:WMI131254 WVO131254:WWE131254 G196790:W196790 JC196790:JS196790 SY196790:TO196790 ACU196790:ADK196790 AMQ196790:ANG196790 AWM196790:AXC196790 BGI196790:BGY196790 BQE196790:BQU196790 CAA196790:CAQ196790 CJW196790:CKM196790 CTS196790:CUI196790 DDO196790:DEE196790 DNK196790:DOA196790 DXG196790:DXW196790 EHC196790:EHS196790 EQY196790:ERO196790 FAU196790:FBK196790 FKQ196790:FLG196790 FUM196790:FVC196790 GEI196790:GEY196790 GOE196790:GOU196790 GYA196790:GYQ196790 HHW196790:HIM196790 HRS196790:HSI196790 IBO196790:ICE196790 ILK196790:IMA196790 IVG196790:IVW196790 JFC196790:JFS196790 JOY196790:JPO196790 JYU196790:JZK196790 KIQ196790:KJG196790 KSM196790:KTC196790 LCI196790:LCY196790 LME196790:LMU196790 LWA196790:LWQ196790 MFW196790:MGM196790 MPS196790:MQI196790 MZO196790:NAE196790 NJK196790:NKA196790 NTG196790:NTW196790 ODC196790:ODS196790 OMY196790:ONO196790 OWU196790:OXK196790 PGQ196790:PHG196790 PQM196790:PRC196790 QAI196790:QAY196790 QKE196790:QKU196790 QUA196790:QUQ196790 RDW196790:REM196790 RNS196790:ROI196790 RXO196790:RYE196790 SHK196790:SIA196790 SRG196790:SRW196790 TBC196790:TBS196790 TKY196790:TLO196790 TUU196790:TVK196790 UEQ196790:UFG196790 UOM196790:UPC196790 UYI196790:UYY196790 VIE196790:VIU196790 VSA196790:VSQ196790 WBW196790:WCM196790 WLS196790:WMI196790 WVO196790:WWE196790 G262326:W262326 JC262326:JS262326 SY262326:TO262326 ACU262326:ADK262326 AMQ262326:ANG262326 AWM262326:AXC262326 BGI262326:BGY262326 BQE262326:BQU262326 CAA262326:CAQ262326 CJW262326:CKM262326 CTS262326:CUI262326 DDO262326:DEE262326 DNK262326:DOA262326 DXG262326:DXW262326 EHC262326:EHS262326 EQY262326:ERO262326 FAU262326:FBK262326 FKQ262326:FLG262326 FUM262326:FVC262326 GEI262326:GEY262326 GOE262326:GOU262326 GYA262326:GYQ262326 HHW262326:HIM262326 HRS262326:HSI262326 IBO262326:ICE262326 ILK262326:IMA262326 IVG262326:IVW262326 JFC262326:JFS262326 JOY262326:JPO262326 JYU262326:JZK262326 KIQ262326:KJG262326 KSM262326:KTC262326 LCI262326:LCY262326 LME262326:LMU262326 LWA262326:LWQ262326 MFW262326:MGM262326 MPS262326:MQI262326 MZO262326:NAE262326 NJK262326:NKA262326 NTG262326:NTW262326 ODC262326:ODS262326 OMY262326:ONO262326 OWU262326:OXK262326 PGQ262326:PHG262326 PQM262326:PRC262326 QAI262326:QAY262326 QKE262326:QKU262326 QUA262326:QUQ262326 RDW262326:REM262326 RNS262326:ROI262326 RXO262326:RYE262326 SHK262326:SIA262326 SRG262326:SRW262326 TBC262326:TBS262326 TKY262326:TLO262326 TUU262326:TVK262326 UEQ262326:UFG262326 UOM262326:UPC262326 UYI262326:UYY262326 VIE262326:VIU262326 VSA262326:VSQ262326 WBW262326:WCM262326 WLS262326:WMI262326 WVO262326:WWE262326 G327862:W327862 JC327862:JS327862 SY327862:TO327862 ACU327862:ADK327862 AMQ327862:ANG327862 AWM327862:AXC327862 BGI327862:BGY327862 BQE327862:BQU327862 CAA327862:CAQ327862 CJW327862:CKM327862 CTS327862:CUI327862 DDO327862:DEE327862 DNK327862:DOA327862 DXG327862:DXW327862 EHC327862:EHS327862 EQY327862:ERO327862 FAU327862:FBK327862 FKQ327862:FLG327862 FUM327862:FVC327862 GEI327862:GEY327862 GOE327862:GOU327862 GYA327862:GYQ327862 HHW327862:HIM327862 HRS327862:HSI327862 IBO327862:ICE327862 ILK327862:IMA327862 IVG327862:IVW327862 JFC327862:JFS327862 JOY327862:JPO327862 JYU327862:JZK327862 KIQ327862:KJG327862 KSM327862:KTC327862 LCI327862:LCY327862 LME327862:LMU327862 LWA327862:LWQ327862 MFW327862:MGM327862 MPS327862:MQI327862 MZO327862:NAE327862 NJK327862:NKA327862 NTG327862:NTW327862 ODC327862:ODS327862 OMY327862:ONO327862 OWU327862:OXK327862 PGQ327862:PHG327862 PQM327862:PRC327862 QAI327862:QAY327862 QKE327862:QKU327862 QUA327862:QUQ327862 RDW327862:REM327862 RNS327862:ROI327862 RXO327862:RYE327862 SHK327862:SIA327862 SRG327862:SRW327862 TBC327862:TBS327862 TKY327862:TLO327862 TUU327862:TVK327862 UEQ327862:UFG327862 UOM327862:UPC327862 UYI327862:UYY327862 VIE327862:VIU327862 VSA327862:VSQ327862 WBW327862:WCM327862 WLS327862:WMI327862 WVO327862:WWE327862 G393398:W393398 JC393398:JS393398 SY393398:TO393398 ACU393398:ADK393398 AMQ393398:ANG393398 AWM393398:AXC393398 BGI393398:BGY393398 BQE393398:BQU393398 CAA393398:CAQ393398 CJW393398:CKM393398 CTS393398:CUI393398 DDO393398:DEE393398 DNK393398:DOA393398 DXG393398:DXW393398 EHC393398:EHS393398 EQY393398:ERO393398 FAU393398:FBK393398 FKQ393398:FLG393398 FUM393398:FVC393398 GEI393398:GEY393398 GOE393398:GOU393398 GYA393398:GYQ393398 HHW393398:HIM393398 HRS393398:HSI393398 IBO393398:ICE393398 ILK393398:IMA393398 IVG393398:IVW393398 JFC393398:JFS393398 JOY393398:JPO393398 JYU393398:JZK393398 KIQ393398:KJG393398 KSM393398:KTC393398 LCI393398:LCY393398 LME393398:LMU393398 LWA393398:LWQ393398 MFW393398:MGM393398 MPS393398:MQI393398 MZO393398:NAE393398 NJK393398:NKA393398 NTG393398:NTW393398 ODC393398:ODS393398 OMY393398:ONO393398 OWU393398:OXK393398 PGQ393398:PHG393398 PQM393398:PRC393398 QAI393398:QAY393398 QKE393398:QKU393398 QUA393398:QUQ393398 RDW393398:REM393398 RNS393398:ROI393398 RXO393398:RYE393398 SHK393398:SIA393398 SRG393398:SRW393398 TBC393398:TBS393398 TKY393398:TLO393398 TUU393398:TVK393398 UEQ393398:UFG393398 UOM393398:UPC393398 UYI393398:UYY393398 VIE393398:VIU393398 VSA393398:VSQ393398 WBW393398:WCM393398 WLS393398:WMI393398 WVO393398:WWE393398 G458934:W458934 JC458934:JS458934 SY458934:TO458934 ACU458934:ADK458934 AMQ458934:ANG458934 AWM458934:AXC458934 BGI458934:BGY458934 BQE458934:BQU458934 CAA458934:CAQ458934 CJW458934:CKM458934 CTS458934:CUI458934 DDO458934:DEE458934 DNK458934:DOA458934 DXG458934:DXW458934 EHC458934:EHS458934 EQY458934:ERO458934 FAU458934:FBK458934 FKQ458934:FLG458934 FUM458934:FVC458934 GEI458934:GEY458934 GOE458934:GOU458934 GYA458934:GYQ458934 HHW458934:HIM458934 HRS458934:HSI458934 IBO458934:ICE458934 ILK458934:IMA458934 IVG458934:IVW458934 JFC458934:JFS458934 JOY458934:JPO458934 JYU458934:JZK458934 KIQ458934:KJG458934 KSM458934:KTC458934 LCI458934:LCY458934 LME458934:LMU458934 LWA458934:LWQ458934 MFW458934:MGM458934 MPS458934:MQI458934 MZO458934:NAE458934 NJK458934:NKA458934 NTG458934:NTW458934 ODC458934:ODS458934 OMY458934:ONO458934 OWU458934:OXK458934 PGQ458934:PHG458934 PQM458934:PRC458934 QAI458934:QAY458934 QKE458934:QKU458934 QUA458934:QUQ458934 RDW458934:REM458934 RNS458934:ROI458934 RXO458934:RYE458934 SHK458934:SIA458934 SRG458934:SRW458934 TBC458934:TBS458934 TKY458934:TLO458934 TUU458934:TVK458934 UEQ458934:UFG458934 UOM458934:UPC458934 UYI458934:UYY458934 VIE458934:VIU458934 VSA458934:VSQ458934 WBW458934:WCM458934 WLS458934:WMI458934 WVO458934:WWE458934 G524470:W524470 JC524470:JS524470 SY524470:TO524470 ACU524470:ADK524470 AMQ524470:ANG524470 AWM524470:AXC524470 BGI524470:BGY524470 BQE524470:BQU524470 CAA524470:CAQ524470 CJW524470:CKM524470 CTS524470:CUI524470 DDO524470:DEE524470 DNK524470:DOA524470 DXG524470:DXW524470 EHC524470:EHS524470 EQY524470:ERO524470 FAU524470:FBK524470 FKQ524470:FLG524470 FUM524470:FVC524470 GEI524470:GEY524470 GOE524470:GOU524470 GYA524470:GYQ524470 HHW524470:HIM524470 HRS524470:HSI524470 IBO524470:ICE524470 ILK524470:IMA524470 IVG524470:IVW524470 JFC524470:JFS524470 JOY524470:JPO524470 JYU524470:JZK524470 KIQ524470:KJG524470 KSM524470:KTC524470 LCI524470:LCY524470 LME524470:LMU524470 LWA524470:LWQ524470 MFW524470:MGM524470 MPS524470:MQI524470 MZO524470:NAE524470 NJK524470:NKA524470 NTG524470:NTW524470 ODC524470:ODS524470 OMY524470:ONO524470 OWU524470:OXK524470 PGQ524470:PHG524470 PQM524470:PRC524470 QAI524470:QAY524470 QKE524470:QKU524470 QUA524470:QUQ524470 RDW524470:REM524470 RNS524470:ROI524470 RXO524470:RYE524470 SHK524470:SIA524470 SRG524470:SRW524470 TBC524470:TBS524470 TKY524470:TLO524470 TUU524470:TVK524470 UEQ524470:UFG524470 UOM524470:UPC524470 UYI524470:UYY524470 VIE524470:VIU524470 VSA524470:VSQ524470 WBW524470:WCM524470 WLS524470:WMI524470 WVO524470:WWE524470 G590006:W590006 JC590006:JS590006 SY590006:TO590006 ACU590006:ADK590006 AMQ590006:ANG590006 AWM590006:AXC590006 BGI590006:BGY590006 BQE590006:BQU590006 CAA590006:CAQ590006 CJW590006:CKM590006 CTS590006:CUI590006 DDO590006:DEE590006 DNK590006:DOA590006 DXG590006:DXW590006 EHC590006:EHS590006 EQY590006:ERO590006 FAU590006:FBK590006 FKQ590006:FLG590006 FUM590006:FVC590006 GEI590006:GEY590006 GOE590006:GOU590006 GYA590006:GYQ590006 HHW590006:HIM590006 HRS590006:HSI590006 IBO590006:ICE590006 ILK590006:IMA590006 IVG590006:IVW590006 JFC590006:JFS590006 JOY590006:JPO590006 JYU590006:JZK590006 KIQ590006:KJG590006 KSM590006:KTC590006 LCI590006:LCY590006 LME590006:LMU590006 LWA590006:LWQ590006 MFW590006:MGM590006 MPS590006:MQI590006 MZO590006:NAE590006 NJK590006:NKA590006 NTG590006:NTW590006 ODC590006:ODS590006 OMY590006:ONO590006 OWU590006:OXK590006 PGQ590006:PHG590006 PQM590006:PRC590006 QAI590006:QAY590006 QKE590006:QKU590006 QUA590006:QUQ590006 RDW590006:REM590006 RNS590006:ROI590006 RXO590006:RYE590006 SHK590006:SIA590006 SRG590006:SRW590006 TBC590006:TBS590006 TKY590006:TLO590006 TUU590006:TVK590006 UEQ590006:UFG590006 UOM590006:UPC590006 UYI590006:UYY590006 VIE590006:VIU590006 VSA590006:VSQ590006 WBW590006:WCM590006 WLS590006:WMI590006 WVO590006:WWE590006 G655542:W655542 JC655542:JS655542 SY655542:TO655542 ACU655542:ADK655542 AMQ655542:ANG655542 AWM655542:AXC655542 BGI655542:BGY655542 BQE655542:BQU655542 CAA655542:CAQ655542 CJW655542:CKM655542 CTS655542:CUI655542 DDO655542:DEE655542 DNK655542:DOA655542 DXG655542:DXW655542 EHC655542:EHS655542 EQY655542:ERO655542 FAU655542:FBK655542 FKQ655542:FLG655542 FUM655542:FVC655542 GEI655542:GEY655542 GOE655542:GOU655542 GYA655542:GYQ655542 HHW655542:HIM655542 HRS655542:HSI655542 IBO655542:ICE655542 ILK655542:IMA655542 IVG655542:IVW655542 JFC655542:JFS655542 JOY655542:JPO655542 JYU655542:JZK655542 KIQ655542:KJG655542 KSM655542:KTC655542 LCI655542:LCY655542 LME655542:LMU655542 LWA655542:LWQ655542 MFW655542:MGM655542 MPS655542:MQI655542 MZO655542:NAE655542 NJK655542:NKA655542 NTG655542:NTW655542 ODC655542:ODS655542 OMY655542:ONO655542 OWU655542:OXK655542 PGQ655542:PHG655542 PQM655542:PRC655542 QAI655542:QAY655542 QKE655542:QKU655542 QUA655542:QUQ655542 RDW655542:REM655542 RNS655542:ROI655542 RXO655542:RYE655542 SHK655542:SIA655542 SRG655542:SRW655542 TBC655542:TBS655542 TKY655542:TLO655542 TUU655542:TVK655542 UEQ655542:UFG655542 UOM655542:UPC655542 UYI655542:UYY655542 VIE655542:VIU655542 VSA655542:VSQ655542 WBW655542:WCM655542 WLS655542:WMI655542 WVO655542:WWE655542 G721078:W721078 JC721078:JS721078 SY721078:TO721078 ACU721078:ADK721078 AMQ721078:ANG721078 AWM721078:AXC721078 BGI721078:BGY721078 BQE721078:BQU721078 CAA721078:CAQ721078 CJW721078:CKM721078 CTS721078:CUI721078 DDO721078:DEE721078 DNK721078:DOA721078 DXG721078:DXW721078 EHC721078:EHS721078 EQY721078:ERO721078 FAU721078:FBK721078 FKQ721078:FLG721078 FUM721078:FVC721078 GEI721078:GEY721078 GOE721078:GOU721078 GYA721078:GYQ721078 HHW721078:HIM721078 HRS721078:HSI721078 IBO721078:ICE721078 ILK721078:IMA721078 IVG721078:IVW721078 JFC721078:JFS721078 JOY721078:JPO721078 JYU721078:JZK721078 KIQ721078:KJG721078 KSM721078:KTC721078 LCI721078:LCY721078 LME721078:LMU721078 LWA721078:LWQ721078 MFW721078:MGM721078 MPS721078:MQI721078 MZO721078:NAE721078 NJK721078:NKA721078 NTG721078:NTW721078 ODC721078:ODS721078 OMY721078:ONO721078 OWU721078:OXK721078 PGQ721078:PHG721078 PQM721078:PRC721078 QAI721078:QAY721078 QKE721078:QKU721078 QUA721078:QUQ721078 RDW721078:REM721078 RNS721078:ROI721078 RXO721078:RYE721078 SHK721078:SIA721078 SRG721078:SRW721078 TBC721078:TBS721078 TKY721078:TLO721078 TUU721078:TVK721078 UEQ721078:UFG721078 UOM721078:UPC721078 UYI721078:UYY721078 VIE721078:VIU721078 VSA721078:VSQ721078 WBW721078:WCM721078 WLS721078:WMI721078 WVO721078:WWE721078 G786614:W786614 JC786614:JS786614 SY786614:TO786614 ACU786614:ADK786614 AMQ786614:ANG786614 AWM786614:AXC786614 BGI786614:BGY786614 BQE786614:BQU786614 CAA786614:CAQ786614 CJW786614:CKM786614 CTS786614:CUI786614 DDO786614:DEE786614 DNK786614:DOA786614 DXG786614:DXW786614 EHC786614:EHS786614 EQY786614:ERO786614 FAU786614:FBK786614 FKQ786614:FLG786614 FUM786614:FVC786614 GEI786614:GEY786614 GOE786614:GOU786614 GYA786614:GYQ786614 HHW786614:HIM786614 HRS786614:HSI786614 IBO786614:ICE786614 ILK786614:IMA786614 IVG786614:IVW786614 JFC786614:JFS786614 JOY786614:JPO786614 JYU786614:JZK786614 KIQ786614:KJG786614 KSM786614:KTC786614 LCI786614:LCY786614 LME786614:LMU786614 LWA786614:LWQ786614 MFW786614:MGM786614 MPS786614:MQI786614 MZO786614:NAE786614 NJK786614:NKA786614 NTG786614:NTW786614 ODC786614:ODS786614 OMY786614:ONO786614 OWU786614:OXK786614 PGQ786614:PHG786614 PQM786614:PRC786614 QAI786614:QAY786614 QKE786614:QKU786614 QUA786614:QUQ786614 RDW786614:REM786614 RNS786614:ROI786614 RXO786614:RYE786614 SHK786614:SIA786614 SRG786614:SRW786614 TBC786614:TBS786614 TKY786614:TLO786614 TUU786614:TVK786614 UEQ786614:UFG786614 UOM786614:UPC786614 UYI786614:UYY786614 VIE786614:VIU786614 VSA786614:VSQ786614 WBW786614:WCM786614 WLS786614:WMI786614 WVO786614:WWE786614 G852150:W852150 JC852150:JS852150 SY852150:TO852150 ACU852150:ADK852150 AMQ852150:ANG852150 AWM852150:AXC852150 BGI852150:BGY852150 BQE852150:BQU852150 CAA852150:CAQ852150 CJW852150:CKM852150 CTS852150:CUI852150 DDO852150:DEE852150 DNK852150:DOA852150 DXG852150:DXW852150 EHC852150:EHS852150 EQY852150:ERO852150 FAU852150:FBK852150 FKQ852150:FLG852150 FUM852150:FVC852150 GEI852150:GEY852150 GOE852150:GOU852150 GYA852150:GYQ852150 HHW852150:HIM852150 HRS852150:HSI852150 IBO852150:ICE852150 ILK852150:IMA852150 IVG852150:IVW852150 JFC852150:JFS852150 JOY852150:JPO852150 JYU852150:JZK852150 KIQ852150:KJG852150 KSM852150:KTC852150 LCI852150:LCY852150 LME852150:LMU852150 LWA852150:LWQ852150 MFW852150:MGM852150 MPS852150:MQI852150 MZO852150:NAE852150 NJK852150:NKA852150 NTG852150:NTW852150 ODC852150:ODS852150 OMY852150:ONO852150 OWU852150:OXK852150 PGQ852150:PHG852150 PQM852150:PRC852150 QAI852150:QAY852150 QKE852150:QKU852150 QUA852150:QUQ852150 RDW852150:REM852150 RNS852150:ROI852150 RXO852150:RYE852150 SHK852150:SIA852150 SRG852150:SRW852150 TBC852150:TBS852150 TKY852150:TLO852150 TUU852150:TVK852150 UEQ852150:UFG852150 UOM852150:UPC852150 UYI852150:UYY852150 VIE852150:VIU852150 VSA852150:VSQ852150 WBW852150:WCM852150 WLS852150:WMI852150 WVO852150:WWE852150 G917686:W917686 JC917686:JS917686 SY917686:TO917686 ACU917686:ADK917686 AMQ917686:ANG917686 AWM917686:AXC917686 BGI917686:BGY917686 BQE917686:BQU917686 CAA917686:CAQ917686 CJW917686:CKM917686 CTS917686:CUI917686 DDO917686:DEE917686 DNK917686:DOA917686 DXG917686:DXW917686 EHC917686:EHS917686 EQY917686:ERO917686 FAU917686:FBK917686 FKQ917686:FLG917686 FUM917686:FVC917686 GEI917686:GEY917686 GOE917686:GOU917686 GYA917686:GYQ917686 HHW917686:HIM917686 HRS917686:HSI917686 IBO917686:ICE917686 ILK917686:IMA917686 IVG917686:IVW917686 JFC917686:JFS917686 JOY917686:JPO917686 JYU917686:JZK917686 KIQ917686:KJG917686 KSM917686:KTC917686 LCI917686:LCY917686 LME917686:LMU917686 LWA917686:LWQ917686 MFW917686:MGM917686 MPS917686:MQI917686 MZO917686:NAE917686 NJK917686:NKA917686 NTG917686:NTW917686 ODC917686:ODS917686 OMY917686:ONO917686 OWU917686:OXK917686 PGQ917686:PHG917686 PQM917686:PRC917686 QAI917686:QAY917686 QKE917686:QKU917686 QUA917686:QUQ917686 RDW917686:REM917686 RNS917686:ROI917686 RXO917686:RYE917686 SHK917686:SIA917686 SRG917686:SRW917686 TBC917686:TBS917686 TKY917686:TLO917686 TUU917686:TVK917686 UEQ917686:UFG917686 UOM917686:UPC917686 UYI917686:UYY917686 VIE917686:VIU917686 VSA917686:VSQ917686 WBW917686:WCM917686 WLS917686:WMI917686 WVO917686:WWE917686 G983222:W983222 JC983222:JS983222 SY983222:TO983222 ACU983222:ADK983222 AMQ983222:ANG983222 AWM983222:AXC983222 BGI983222:BGY983222 BQE983222:BQU983222 CAA983222:CAQ983222 CJW983222:CKM983222 CTS983222:CUI983222 DDO983222:DEE983222 DNK983222:DOA983222 DXG983222:DXW983222 EHC983222:EHS983222 EQY983222:ERO983222 FAU983222:FBK983222 FKQ983222:FLG983222 FUM983222:FVC983222 GEI983222:GEY983222 GOE983222:GOU983222 GYA983222:GYQ983222 HHW983222:HIM983222 HRS983222:HSI983222 IBO983222:ICE983222 ILK983222:IMA983222 IVG983222:IVW983222 JFC983222:JFS983222 JOY983222:JPO983222 JYU983222:JZK983222 KIQ983222:KJG983222 KSM983222:KTC983222 LCI983222:LCY983222 LME983222:LMU983222 LWA983222:LWQ983222 MFW983222:MGM983222 MPS983222:MQI983222 MZO983222:NAE983222 NJK983222:NKA983222 NTG983222:NTW983222 ODC983222:ODS983222 OMY983222:ONO983222 OWU983222:OXK983222 PGQ983222:PHG983222 PQM983222:PRC983222 QAI983222:QAY983222 QKE983222:QKU983222 QUA983222:QUQ983222 RDW983222:REM983222 RNS983222:ROI983222 RXO983222:RYE983222 SHK983222:SIA983222 SRG983222:SRW983222 TBC983222:TBS983222 TKY983222:TLO983222 TUU983222:TVK983222 UEQ983222:UFG983222 UOM983222:UPC983222 UYI983222:UYY983222 VIE983222:VIU983222 VSA983222:VSQ983222 WBW983222:WCM983222 WLS983222:WMI983222 WVO983222:WWE983222 G56:W56 JC56:JS56 SY56:TO56 ACU56:ADK56 AMQ56:ANG56 AWM56:AXC56 BGI56:BGY56 BQE56:BQU56 CAA56:CAQ56 CJW56:CKM56 CTS56:CUI56 DDO56:DEE56 DNK56:DOA56 DXG56:DXW56 EHC56:EHS56 EQY56:ERO56 FAU56:FBK56 FKQ56:FLG56 FUM56:FVC56 GEI56:GEY56 GOE56:GOU56 GYA56:GYQ56 HHW56:HIM56 HRS56:HSI56 IBO56:ICE56 ILK56:IMA56 IVG56:IVW56 JFC56:JFS56 JOY56:JPO56 JYU56:JZK56 KIQ56:KJG56 KSM56:KTC56 LCI56:LCY56 LME56:LMU56 LWA56:LWQ56 MFW56:MGM56 MPS56:MQI56 MZO56:NAE56 NJK56:NKA56 NTG56:NTW56 ODC56:ODS56 OMY56:ONO56 OWU56:OXK56 PGQ56:PHG56 PQM56:PRC56 QAI56:QAY56 QKE56:QKU56 QUA56:QUQ56 RDW56:REM56 RNS56:ROI56 RXO56:RYE56 SHK56:SIA56 SRG56:SRW56 TBC56:TBS56 TKY56:TLO56 TUU56:TVK56 UEQ56:UFG56 UOM56:UPC56 UYI56:UYY56 VIE56:VIU56 VSA56:VSQ56 WBW56:WCM56 WLS56:WMI56 WVO56:WWE56 G65592:W65592 JC65592:JS65592 SY65592:TO65592 ACU65592:ADK65592 AMQ65592:ANG65592 AWM65592:AXC65592 BGI65592:BGY65592 BQE65592:BQU65592 CAA65592:CAQ65592 CJW65592:CKM65592 CTS65592:CUI65592 DDO65592:DEE65592 DNK65592:DOA65592 DXG65592:DXW65592 EHC65592:EHS65592 EQY65592:ERO65592 FAU65592:FBK65592 FKQ65592:FLG65592 FUM65592:FVC65592 GEI65592:GEY65592 GOE65592:GOU65592 GYA65592:GYQ65592 HHW65592:HIM65592 HRS65592:HSI65592 IBO65592:ICE65592 ILK65592:IMA65592 IVG65592:IVW65592 JFC65592:JFS65592 JOY65592:JPO65592 JYU65592:JZK65592 KIQ65592:KJG65592 KSM65592:KTC65592 LCI65592:LCY65592 LME65592:LMU65592 LWA65592:LWQ65592 MFW65592:MGM65592 MPS65592:MQI65592 MZO65592:NAE65592 NJK65592:NKA65592 NTG65592:NTW65592 ODC65592:ODS65592 OMY65592:ONO65592 OWU65592:OXK65592 PGQ65592:PHG65592 PQM65592:PRC65592 QAI65592:QAY65592 QKE65592:QKU65592 QUA65592:QUQ65592 RDW65592:REM65592 RNS65592:ROI65592 RXO65592:RYE65592 SHK65592:SIA65592 SRG65592:SRW65592 TBC65592:TBS65592 TKY65592:TLO65592 TUU65592:TVK65592 UEQ65592:UFG65592 UOM65592:UPC65592 UYI65592:UYY65592 VIE65592:VIU65592 VSA65592:VSQ65592 WBW65592:WCM65592 WLS65592:WMI65592 WVO65592:WWE65592 G131128:W131128 JC131128:JS131128 SY131128:TO131128 ACU131128:ADK131128 AMQ131128:ANG131128 AWM131128:AXC131128 BGI131128:BGY131128 BQE131128:BQU131128 CAA131128:CAQ131128 CJW131128:CKM131128 CTS131128:CUI131128 DDO131128:DEE131128 DNK131128:DOA131128 DXG131128:DXW131128 EHC131128:EHS131128 EQY131128:ERO131128 FAU131128:FBK131128 FKQ131128:FLG131128 FUM131128:FVC131128 GEI131128:GEY131128 GOE131128:GOU131128 GYA131128:GYQ131128 HHW131128:HIM131128 HRS131128:HSI131128 IBO131128:ICE131128 ILK131128:IMA131128 IVG131128:IVW131128 JFC131128:JFS131128 JOY131128:JPO131128 JYU131128:JZK131128 KIQ131128:KJG131128 KSM131128:KTC131128 LCI131128:LCY131128 LME131128:LMU131128 LWA131128:LWQ131128 MFW131128:MGM131128 MPS131128:MQI131128 MZO131128:NAE131128 NJK131128:NKA131128 NTG131128:NTW131128 ODC131128:ODS131128 OMY131128:ONO131128 OWU131128:OXK131128 PGQ131128:PHG131128 PQM131128:PRC131128 QAI131128:QAY131128 QKE131128:QKU131128 QUA131128:QUQ131128 RDW131128:REM131128 RNS131128:ROI131128 RXO131128:RYE131128 SHK131128:SIA131128 SRG131128:SRW131128 TBC131128:TBS131128 TKY131128:TLO131128 TUU131128:TVK131128 UEQ131128:UFG131128 UOM131128:UPC131128 UYI131128:UYY131128 VIE131128:VIU131128 VSA131128:VSQ131128 WBW131128:WCM131128 WLS131128:WMI131128 WVO131128:WWE131128 G196664:W196664 JC196664:JS196664 SY196664:TO196664 ACU196664:ADK196664 AMQ196664:ANG196664 AWM196664:AXC196664 BGI196664:BGY196664 BQE196664:BQU196664 CAA196664:CAQ196664 CJW196664:CKM196664 CTS196664:CUI196664 DDO196664:DEE196664 DNK196664:DOA196664 DXG196664:DXW196664 EHC196664:EHS196664 EQY196664:ERO196664 FAU196664:FBK196664 FKQ196664:FLG196664 FUM196664:FVC196664 GEI196664:GEY196664 GOE196664:GOU196664 GYA196664:GYQ196664 HHW196664:HIM196664 HRS196664:HSI196664 IBO196664:ICE196664 ILK196664:IMA196664 IVG196664:IVW196664 JFC196664:JFS196664 JOY196664:JPO196664 JYU196664:JZK196664 KIQ196664:KJG196664 KSM196664:KTC196664 LCI196664:LCY196664 LME196664:LMU196664 LWA196664:LWQ196664 MFW196664:MGM196664 MPS196664:MQI196664 MZO196664:NAE196664 NJK196664:NKA196664 NTG196664:NTW196664 ODC196664:ODS196664 OMY196664:ONO196664 OWU196664:OXK196664 PGQ196664:PHG196664 PQM196664:PRC196664 QAI196664:QAY196664 QKE196664:QKU196664 QUA196664:QUQ196664 RDW196664:REM196664 RNS196664:ROI196664 RXO196664:RYE196664 SHK196664:SIA196664 SRG196664:SRW196664 TBC196664:TBS196664 TKY196664:TLO196664 TUU196664:TVK196664 UEQ196664:UFG196664 UOM196664:UPC196664 UYI196664:UYY196664 VIE196664:VIU196664 VSA196664:VSQ196664 WBW196664:WCM196664 WLS196664:WMI196664 WVO196664:WWE196664 G262200:W262200 JC262200:JS262200 SY262200:TO262200 ACU262200:ADK262200 AMQ262200:ANG262200 AWM262200:AXC262200 BGI262200:BGY262200 BQE262200:BQU262200 CAA262200:CAQ262200 CJW262200:CKM262200 CTS262200:CUI262200 DDO262200:DEE262200 DNK262200:DOA262200 DXG262200:DXW262200 EHC262200:EHS262200 EQY262200:ERO262200 FAU262200:FBK262200 FKQ262200:FLG262200 FUM262200:FVC262200 GEI262200:GEY262200 GOE262200:GOU262200 GYA262200:GYQ262200 HHW262200:HIM262200 HRS262200:HSI262200 IBO262200:ICE262200 ILK262200:IMA262200 IVG262200:IVW262200 JFC262200:JFS262200 JOY262200:JPO262200 JYU262200:JZK262200 KIQ262200:KJG262200 KSM262200:KTC262200 LCI262200:LCY262200 LME262200:LMU262200 LWA262200:LWQ262200 MFW262200:MGM262200 MPS262200:MQI262200 MZO262200:NAE262200 NJK262200:NKA262200 NTG262200:NTW262200 ODC262200:ODS262200 OMY262200:ONO262200 OWU262200:OXK262200 PGQ262200:PHG262200 PQM262200:PRC262200 QAI262200:QAY262200 QKE262200:QKU262200 QUA262200:QUQ262200 RDW262200:REM262200 RNS262200:ROI262200 RXO262200:RYE262200 SHK262200:SIA262200 SRG262200:SRW262200 TBC262200:TBS262200 TKY262200:TLO262200 TUU262200:TVK262200 UEQ262200:UFG262200 UOM262200:UPC262200 UYI262200:UYY262200 VIE262200:VIU262200 VSA262200:VSQ262200 WBW262200:WCM262200 WLS262200:WMI262200 WVO262200:WWE262200 G327736:W327736 JC327736:JS327736 SY327736:TO327736 ACU327736:ADK327736 AMQ327736:ANG327736 AWM327736:AXC327736 BGI327736:BGY327736 BQE327736:BQU327736 CAA327736:CAQ327736 CJW327736:CKM327736 CTS327736:CUI327736 DDO327736:DEE327736 DNK327736:DOA327736 DXG327736:DXW327736 EHC327736:EHS327736 EQY327736:ERO327736 FAU327736:FBK327736 FKQ327736:FLG327736 FUM327736:FVC327736 GEI327736:GEY327736 GOE327736:GOU327736 GYA327736:GYQ327736 HHW327736:HIM327736 HRS327736:HSI327736 IBO327736:ICE327736 ILK327736:IMA327736 IVG327736:IVW327736 JFC327736:JFS327736 JOY327736:JPO327736 JYU327736:JZK327736 KIQ327736:KJG327736 KSM327736:KTC327736 LCI327736:LCY327736 LME327736:LMU327736 LWA327736:LWQ327736 MFW327736:MGM327736 MPS327736:MQI327736 MZO327736:NAE327736 NJK327736:NKA327736 NTG327736:NTW327736 ODC327736:ODS327736 OMY327736:ONO327736 OWU327736:OXK327736 PGQ327736:PHG327736 PQM327736:PRC327736 QAI327736:QAY327736 QKE327736:QKU327736 QUA327736:QUQ327736 RDW327736:REM327736 RNS327736:ROI327736 RXO327736:RYE327736 SHK327736:SIA327736 SRG327736:SRW327736 TBC327736:TBS327736 TKY327736:TLO327736 TUU327736:TVK327736 UEQ327736:UFG327736 UOM327736:UPC327736 UYI327736:UYY327736 VIE327736:VIU327736 VSA327736:VSQ327736 WBW327736:WCM327736 WLS327736:WMI327736 WVO327736:WWE327736 G393272:W393272 JC393272:JS393272 SY393272:TO393272 ACU393272:ADK393272 AMQ393272:ANG393272 AWM393272:AXC393272 BGI393272:BGY393272 BQE393272:BQU393272 CAA393272:CAQ393272 CJW393272:CKM393272 CTS393272:CUI393272 DDO393272:DEE393272 DNK393272:DOA393272 DXG393272:DXW393272 EHC393272:EHS393272 EQY393272:ERO393272 FAU393272:FBK393272 FKQ393272:FLG393272 FUM393272:FVC393272 GEI393272:GEY393272 GOE393272:GOU393272 GYA393272:GYQ393272 HHW393272:HIM393272 HRS393272:HSI393272 IBO393272:ICE393272 ILK393272:IMA393272 IVG393272:IVW393272 JFC393272:JFS393272 JOY393272:JPO393272 JYU393272:JZK393272 KIQ393272:KJG393272 KSM393272:KTC393272 LCI393272:LCY393272 LME393272:LMU393272 LWA393272:LWQ393272 MFW393272:MGM393272 MPS393272:MQI393272 MZO393272:NAE393272 NJK393272:NKA393272 NTG393272:NTW393272 ODC393272:ODS393272 OMY393272:ONO393272 OWU393272:OXK393272 PGQ393272:PHG393272 PQM393272:PRC393272 QAI393272:QAY393272 QKE393272:QKU393272 QUA393272:QUQ393272 RDW393272:REM393272 RNS393272:ROI393272 RXO393272:RYE393272 SHK393272:SIA393272 SRG393272:SRW393272 TBC393272:TBS393272 TKY393272:TLO393272 TUU393272:TVK393272 UEQ393272:UFG393272 UOM393272:UPC393272 UYI393272:UYY393272 VIE393272:VIU393272 VSA393272:VSQ393272 WBW393272:WCM393272 WLS393272:WMI393272 WVO393272:WWE393272 G458808:W458808 JC458808:JS458808 SY458808:TO458808 ACU458808:ADK458808 AMQ458808:ANG458808 AWM458808:AXC458808 BGI458808:BGY458808 BQE458808:BQU458808 CAA458808:CAQ458808 CJW458808:CKM458808 CTS458808:CUI458808 DDO458808:DEE458808 DNK458808:DOA458808 DXG458808:DXW458808 EHC458808:EHS458808 EQY458808:ERO458808 FAU458808:FBK458808 FKQ458808:FLG458808 FUM458808:FVC458808 GEI458808:GEY458808 GOE458808:GOU458808 GYA458808:GYQ458808 HHW458808:HIM458808 HRS458808:HSI458808 IBO458808:ICE458808 ILK458808:IMA458808 IVG458808:IVW458808 JFC458808:JFS458808 JOY458808:JPO458808 JYU458808:JZK458808 KIQ458808:KJG458808 KSM458808:KTC458808 LCI458808:LCY458808 LME458808:LMU458808 LWA458808:LWQ458808 MFW458808:MGM458808 MPS458808:MQI458808 MZO458808:NAE458808 NJK458808:NKA458808 NTG458808:NTW458808 ODC458808:ODS458808 OMY458808:ONO458808 OWU458808:OXK458808 PGQ458808:PHG458808 PQM458808:PRC458808 QAI458808:QAY458808 QKE458808:QKU458808 QUA458808:QUQ458808 RDW458808:REM458808 RNS458808:ROI458808 RXO458808:RYE458808 SHK458808:SIA458808 SRG458808:SRW458808 TBC458808:TBS458808 TKY458808:TLO458808 TUU458808:TVK458808 UEQ458808:UFG458808 UOM458808:UPC458808 UYI458808:UYY458808 VIE458808:VIU458808 VSA458808:VSQ458808 WBW458808:WCM458808 WLS458808:WMI458808 WVO458808:WWE458808 G524344:W524344 JC524344:JS524344 SY524344:TO524344 ACU524344:ADK524344 AMQ524344:ANG524344 AWM524344:AXC524344 BGI524344:BGY524344 BQE524344:BQU524344 CAA524344:CAQ524344 CJW524344:CKM524344 CTS524344:CUI524344 DDO524344:DEE524344 DNK524344:DOA524344 DXG524344:DXW524344 EHC524344:EHS524344 EQY524344:ERO524344 FAU524344:FBK524344 FKQ524344:FLG524344 FUM524344:FVC524344 GEI524344:GEY524344 GOE524344:GOU524344 GYA524344:GYQ524344 HHW524344:HIM524344 HRS524344:HSI524344 IBO524344:ICE524344 ILK524344:IMA524344 IVG524344:IVW524344 JFC524344:JFS524344 JOY524344:JPO524344 JYU524344:JZK524344 KIQ524344:KJG524344 KSM524344:KTC524344 LCI524344:LCY524344 LME524344:LMU524344 LWA524344:LWQ524344 MFW524344:MGM524344 MPS524344:MQI524344 MZO524344:NAE524344 NJK524344:NKA524344 NTG524344:NTW524344 ODC524344:ODS524344 OMY524344:ONO524344 OWU524344:OXK524344 PGQ524344:PHG524344 PQM524344:PRC524344 QAI524344:QAY524344 QKE524344:QKU524344 QUA524344:QUQ524344 RDW524344:REM524344 RNS524344:ROI524344 RXO524344:RYE524344 SHK524344:SIA524344 SRG524344:SRW524344 TBC524344:TBS524344 TKY524344:TLO524344 TUU524344:TVK524344 UEQ524344:UFG524344 UOM524344:UPC524344 UYI524344:UYY524344 VIE524344:VIU524344 VSA524344:VSQ524344 WBW524344:WCM524344 WLS524344:WMI524344 WVO524344:WWE524344 G589880:W589880 JC589880:JS589880 SY589880:TO589880 ACU589880:ADK589880 AMQ589880:ANG589880 AWM589880:AXC589880 BGI589880:BGY589880 BQE589880:BQU589880 CAA589880:CAQ589880 CJW589880:CKM589880 CTS589880:CUI589880 DDO589880:DEE589880 DNK589880:DOA589880 DXG589880:DXW589880 EHC589880:EHS589880 EQY589880:ERO589880 FAU589880:FBK589880 FKQ589880:FLG589880 FUM589880:FVC589880 GEI589880:GEY589880 GOE589880:GOU589880 GYA589880:GYQ589880 HHW589880:HIM589880 HRS589880:HSI589880 IBO589880:ICE589880 ILK589880:IMA589880 IVG589880:IVW589880 JFC589880:JFS589880 JOY589880:JPO589880 JYU589880:JZK589880 KIQ589880:KJG589880 KSM589880:KTC589880 LCI589880:LCY589880 LME589880:LMU589880 LWA589880:LWQ589880 MFW589880:MGM589880 MPS589880:MQI589880 MZO589880:NAE589880 NJK589880:NKA589880 NTG589880:NTW589880 ODC589880:ODS589880 OMY589880:ONO589880 OWU589880:OXK589880 PGQ589880:PHG589880 PQM589880:PRC589880 QAI589880:QAY589880 QKE589880:QKU589880 QUA589880:QUQ589880 RDW589880:REM589880 RNS589880:ROI589880 RXO589880:RYE589880 SHK589880:SIA589880 SRG589880:SRW589880 TBC589880:TBS589880 TKY589880:TLO589880 TUU589880:TVK589880 UEQ589880:UFG589880 UOM589880:UPC589880 UYI589880:UYY589880 VIE589880:VIU589880 VSA589880:VSQ589880 WBW589880:WCM589880 WLS589880:WMI589880 WVO589880:WWE589880 G655416:W655416 JC655416:JS655416 SY655416:TO655416 ACU655416:ADK655416 AMQ655416:ANG655416 AWM655416:AXC655416 BGI655416:BGY655416 BQE655416:BQU655416 CAA655416:CAQ655416 CJW655416:CKM655416 CTS655416:CUI655416 DDO655416:DEE655416 DNK655416:DOA655416 DXG655416:DXW655416 EHC655416:EHS655416 EQY655416:ERO655416 FAU655416:FBK655416 FKQ655416:FLG655416 FUM655416:FVC655416 GEI655416:GEY655416 GOE655416:GOU655416 GYA655416:GYQ655416 HHW655416:HIM655416 HRS655416:HSI655416 IBO655416:ICE655416 ILK655416:IMA655416 IVG655416:IVW655416 JFC655416:JFS655416 JOY655416:JPO655416 JYU655416:JZK655416 KIQ655416:KJG655416 KSM655416:KTC655416 LCI655416:LCY655416 LME655416:LMU655416 LWA655416:LWQ655416 MFW655416:MGM655416 MPS655416:MQI655416 MZO655416:NAE655416 NJK655416:NKA655416 NTG655416:NTW655416 ODC655416:ODS655416 OMY655416:ONO655416 OWU655416:OXK655416 PGQ655416:PHG655416 PQM655416:PRC655416 QAI655416:QAY655416 QKE655416:QKU655416 QUA655416:QUQ655416 RDW655416:REM655416 RNS655416:ROI655416 RXO655416:RYE655416 SHK655416:SIA655416 SRG655416:SRW655416 TBC655416:TBS655416 TKY655416:TLO655416 TUU655416:TVK655416 UEQ655416:UFG655416 UOM655416:UPC655416 UYI655416:UYY655416 VIE655416:VIU655416 VSA655416:VSQ655416 WBW655416:WCM655416 WLS655416:WMI655416 WVO655416:WWE655416 G720952:W720952 JC720952:JS720952 SY720952:TO720952 ACU720952:ADK720952 AMQ720952:ANG720952 AWM720952:AXC720952 BGI720952:BGY720952 BQE720952:BQU720952 CAA720952:CAQ720952 CJW720952:CKM720952 CTS720952:CUI720952 DDO720952:DEE720952 DNK720952:DOA720952 DXG720952:DXW720952 EHC720952:EHS720952 EQY720952:ERO720952 FAU720952:FBK720952 FKQ720952:FLG720952 FUM720952:FVC720952 GEI720952:GEY720952 GOE720952:GOU720952 GYA720952:GYQ720952 HHW720952:HIM720952 HRS720952:HSI720952 IBO720952:ICE720952 ILK720952:IMA720952 IVG720952:IVW720952 JFC720952:JFS720952 JOY720952:JPO720952 JYU720952:JZK720952 KIQ720952:KJG720952 KSM720952:KTC720952 LCI720952:LCY720952 LME720952:LMU720952 LWA720952:LWQ720952 MFW720952:MGM720952 MPS720952:MQI720952 MZO720952:NAE720952 NJK720952:NKA720952 NTG720952:NTW720952 ODC720952:ODS720952 OMY720952:ONO720952 OWU720952:OXK720952 PGQ720952:PHG720952 PQM720952:PRC720952 QAI720952:QAY720952 QKE720952:QKU720952 QUA720952:QUQ720952 RDW720952:REM720952 RNS720952:ROI720952 RXO720952:RYE720952 SHK720952:SIA720952 SRG720952:SRW720952 TBC720952:TBS720952 TKY720952:TLO720952 TUU720952:TVK720952 UEQ720952:UFG720952 UOM720952:UPC720952 UYI720952:UYY720952 VIE720952:VIU720952 VSA720952:VSQ720952 WBW720952:WCM720952 WLS720952:WMI720952 WVO720952:WWE720952 G786488:W786488 JC786488:JS786488 SY786488:TO786488 ACU786488:ADK786488 AMQ786488:ANG786488 AWM786488:AXC786488 BGI786488:BGY786488 BQE786488:BQU786488 CAA786488:CAQ786488 CJW786488:CKM786488 CTS786488:CUI786488 DDO786488:DEE786488 DNK786488:DOA786488 DXG786488:DXW786488 EHC786488:EHS786488 EQY786488:ERO786488 FAU786488:FBK786488 FKQ786488:FLG786488 FUM786488:FVC786488 GEI786488:GEY786488 GOE786488:GOU786488 GYA786488:GYQ786488 HHW786488:HIM786488 HRS786488:HSI786488 IBO786488:ICE786488 ILK786488:IMA786488 IVG786488:IVW786488 JFC786488:JFS786488 JOY786488:JPO786488 JYU786488:JZK786488 KIQ786488:KJG786488 KSM786488:KTC786488 LCI786488:LCY786488 LME786488:LMU786488 LWA786488:LWQ786488 MFW786488:MGM786488 MPS786488:MQI786488 MZO786488:NAE786488 NJK786488:NKA786488 NTG786488:NTW786488 ODC786488:ODS786488 OMY786488:ONO786488 OWU786488:OXK786488 PGQ786488:PHG786488 PQM786488:PRC786488 QAI786488:QAY786488 QKE786488:QKU786488 QUA786488:QUQ786488 RDW786488:REM786488 RNS786488:ROI786488 RXO786488:RYE786488 SHK786488:SIA786488 SRG786488:SRW786488 TBC786488:TBS786488 TKY786488:TLO786488 TUU786488:TVK786488 UEQ786488:UFG786488 UOM786488:UPC786488 UYI786488:UYY786488 VIE786488:VIU786488 VSA786488:VSQ786488 WBW786488:WCM786488 WLS786488:WMI786488 WVO786488:WWE786488 G852024:W852024 JC852024:JS852024 SY852024:TO852024 ACU852024:ADK852024 AMQ852024:ANG852024 AWM852024:AXC852024 BGI852024:BGY852024 BQE852024:BQU852024 CAA852024:CAQ852024 CJW852024:CKM852024 CTS852024:CUI852024 DDO852024:DEE852024 DNK852024:DOA852024 DXG852024:DXW852024 EHC852024:EHS852024 EQY852024:ERO852024 FAU852024:FBK852024 FKQ852024:FLG852024 FUM852024:FVC852024 GEI852024:GEY852024 GOE852024:GOU852024 GYA852024:GYQ852024 HHW852024:HIM852024 HRS852024:HSI852024 IBO852024:ICE852024 ILK852024:IMA852024 IVG852024:IVW852024 JFC852024:JFS852024 JOY852024:JPO852024 JYU852024:JZK852024 KIQ852024:KJG852024 KSM852024:KTC852024 LCI852024:LCY852024 LME852024:LMU852024 LWA852024:LWQ852024 MFW852024:MGM852024 MPS852024:MQI852024 MZO852024:NAE852024 NJK852024:NKA852024 NTG852024:NTW852024 ODC852024:ODS852024 OMY852024:ONO852024 OWU852024:OXK852024 PGQ852024:PHG852024 PQM852024:PRC852024 QAI852024:QAY852024 QKE852024:QKU852024 QUA852024:QUQ852024 RDW852024:REM852024 RNS852024:ROI852024 RXO852024:RYE852024 SHK852024:SIA852024 SRG852024:SRW852024 TBC852024:TBS852024 TKY852024:TLO852024 TUU852024:TVK852024 UEQ852024:UFG852024 UOM852024:UPC852024 UYI852024:UYY852024 VIE852024:VIU852024 VSA852024:VSQ852024 WBW852024:WCM852024 WLS852024:WMI852024 WVO852024:WWE852024 G917560:W917560 JC917560:JS917560 SY917560:TO917560 ACU917560:ADK917560 AMQ917560:ANG917560 AWM917560:AXC917560 BGI917560:BGY917560 BQE917560:BQU917560 CAA917560:CAQ917560 CJW917560:CKM917560 CTS917560:CUI917560 DDO917560:DEE917560 DNK917560:DOA917560 DXG917560:DXW917560 EHC917560:EHS917560 EQY917560:ERO917560 FAU917560:FBK917560 FKQ917560:FLG917560 FUM917560:FVC917560 GEI917560:GEY917560 GOE917560:GOU917560 GYA917560:GYQ917560 HHW917560:HIM917560 HRS917560:HSI917560 IBO917560:ICE917560 ILK917560:IMA917560 IVG917560:IVW917560 JFC917560:JFS917560 JOY917560:JPO917560 JYU917560:JZK917560 KIQ917560:KJG917560 KSM917560:KTC917560 LCI917560:LCY917560 LME917560:LMU917560 LWA917560:LWQ917560 MFW917560:MGM917560 MPS917560:MQI917560 MZO917560:NAE917560 NJK917560:NKA917560 NTG917560:NTW917560 ODC917560:ODS917560 OMY917560:ONO917560 OWU917560:OXK917560 PGQ917560:PHG917560 PQM917560:PRC917560 QAI917560:QAY917560 QKE917560:QKU917560 QUA917560:QUQ917560 RDW917560:REM917560 RNS917560:ROI917560 RXO917560:RYE917560 SHK917560:SIA917560 SRG917560:SRW917560 TBC917560:TBS917560 TKY917560:TLO917560 TUU917560:TVK917560 UEQ917560:UFG917560 UOM917560:UPC917560 UYI917560:UYY917560 VIE917560:VIU917560 VSA917560:VSQ917560 WBW917560:WCM917560 WLS917560:WMI917560 WVO917560:WWE917560 G983096:W983096 JC983096:JS983096 SY983096:TO983096 ACU983096:ADK983096 AMQ983096:ANG983096 AWM983096:AXC983096 BGI983096:BGY983096 BQE983096:BQU983096 CAA983096:CAQ983096 CJW983096:CKM983096 CTS983096:CUI983096 DDO983096:DEE983096 DNK983096:DOA983096 DXG983096:DXW983096 EHC983096:EHS983096 EQY983096:ERO983096 FAU983096:FBK983096 FKQ983096:FLG983096 FUM983096:FVC983096 GEI983096:GEY983096 GOE983096:GOU983096 GYA983096:GYQ983096 HHW983096:HIM983096 HRS983096:HSI983096 IBO983096:ICE983096 ILK983096:IMA983096 IVG983096:IVW983096 JFC983096:JFS983096 JOY983096:JPO983096 JYU983096:JZK983096 KIQ983096:KJG983096 KSM983096:KTC983096 LCI983096:LCY983096 LME983096:LMU983096 LWA983096:LWQ983096 MFW983096:MGM983096 MPS983096:MQI983096 MZO983096:NAE983096 NJK983096:NKA983096 NTG983096:NTW983096 ODC983096:ODS983096 OMY983096:ONO983096 OWU983096:OXK983096 PGQ983096:PHG983096 PQM983096:PRC983096 QAI983096:QAY983096 QKE983096:QKU983096 QUA983096:QUQ983096 RDW983096:REM983096 RNS983096:ROI983096 RXO983096:RYE983096 SHK983096:SIA983096 SRG983096:SRW983096 TBC983096:TBS983096 TKY983096:TLO983096 TUU983096:TVK983096 UEQ983096:UFG983096 UOM983096:UPC983096 UYI983096:UYY983096 VIE983096:VIU983096 VSA983096:VSQ983096 WBW983096:WCM983096 WLS983096:WMI983096 WVO983096:WWE983096 G161:W162 JC161:JS162 SY161:TO162 ACU161:ADK162 AMQ161:ANG162 AWM161:AXC162 BGI161:BGY162 BQE161:BQU162 CAA161:CAQ162 CJW161:CKM162 CTS161:CUI162 DDO161:DEE162 DNK161:DOA162 DXG161:DXW162 EHC161:EHS162 EQY161:ERO162 FAU161:FBK162 FKQ161:FLG162 FUM161:FVC162 GEI161:GEY162 GOE161:GOU162 GYA161:GYQ162 HHW161:HIM162 HRS161:HSI162 IBO161:ICE162 ILK161:IMA162 IVG161:IVW162 JFC161:JFS162 JOY161:JPO162 JYU161:JZK162 KIQ161:KJG162 KSM161:KTC162 LCI161:LCY162 LME161:LMU162 LWA161:LWQ162 MFW161:MGM162 MPS161:MQI162 MZO161:NAE162 NJK161:NKA162 NTG161:NTW162 ODC161:ODS162 OMY161:ONO162 OWU161:OXK162 PGQ161:PHG162 PQM161:PRC162 QAI161:QAY162 QKE161:QKU162 QUA161:QUQ162 RDW161:REM162 RNS161:ROI162 RXO161:RYE162 SHK161:SIA162 SRG161:SRW162 TBC161:TBS162 TKY161:TLO162 TUU161:TVK162 UEQ161:UFG162 UOM161:UPC162 UYI161:UYY162 VIE161:VIU162 VSA161:VSQ162 WBW161:WCM162 WLS161:WMI162 WVO161:WWE162 G65697:W65698 JC65697:JS65698 SY65697:TO65698 ACU65697:ADK65698 AMQ65697:ANG65698 AWM65697:AXC65698 BGI65697:BGY65698 BQE65697:BQU65698 CAA65697:CAQ65698 CJW65697:CKM65698 CTS65697:CUI65698 DDO65697:DEE65698 DNK65697:DOA65698 DXG65697:DXW65698 EHC65697:EHS65698 EQY65697:ERO65698 FAU65697:FBK65698 FKQ65697:FLG65698 FUM65697:FVC65698 GEI65697:GEY65698 GOE65697:GOU65698 GYA65697:GYQ65698 HHW65697:HIM65698 HRS65697:HSI65698 IBO65697:ICE65698 ILK65697:IMA65698 IVG65697:IVW65698 JFC65697:JFS65698 JOY65697:JPO65698 JYU65697:JZK65698 KIQ65697:KJG65698 KSM65697:KTC65698 LCI65697:LCY65698 LME65697:LMU65698 LWA65697:LWQ65698 MFW65697:MGM65698 MPS65697:MQI65698 MZO65697:NAE65698 NJK65697:NKA65698 NTG65697:NTW65698 ODC65697:ODS65698 OMY65697:ONO65698 OWU65697:OXK65698 PGQ65697:PHG65698 PQM65697:PRC65698 QAI65697:QAY65698 QKE65697:QKU65698 QUA65697:QUQ65698 RDW65697:REM65698 RNS65697:ROI65698 RXO65697:RYE65698 SHK65697:SIA65698 SRG65697:SRW65698 TBC65697:TBS65698 TKY65697:TLO65698 TUU65697:TVK65698 UEQ65697:UFG65698 UOM65697:UPC65698 UYI65697:UYY65698 VIE65697:VIU65698 VSA65697:VSQ65698 WBW65697:WCM65698 WLS65697:WMI65698 WVO65697:WWE65698 G131233:W131234 JC131233:JS131234 SY131233:TO131234 ACU131233:ADK131234 AMQ131233:ANG131234 AWM131233:AXC131234 BGI131233:BGY131234 BQE131233:BQU131234 CAA131233:CAQ131234 CJW131233:CKM131234 CTS131233:CUI131234 DDO131233:DEE131234 DNK131233:DOA131234 DXG131233:DXW131234 EHC131233:EHS131234 EQY131233:ERO131234 FAU131233:FBK131234 FKQ131233:FLG131234 FUM131233:FVC131234 GEI131233:GEY131234 GOE131233:GOU131234 GYA131233:GYQ131234 HHW131233:HIM131234 HRS131233:HSI131234 IBO131233:ICE131234 ILK131233:IMA131234 IVG131233:IVW131234 JFC131233:JFS131234 JOY131233:JPO131234 JYU131233:JZK131234 KIQ131233:KJG131234 KSM131233:KTC131234 LCI131233:LCY131234 LME131233:LMU131234 LWA131233:LWQ131234 MFW131233:MGM131234 MPS131233:MQI131234 MZO131233:NAE131234 NJK131233:NKA131234 NTG131233:NTW131234 ODC131233:ODS131234 OMY131233:ONO131234 OWU131233:OXK131234 PGQ131233:PHG131234 PQM131233:PRC131234 QAI131233:QAY131234 QKE131233:QKU131234 QUA131233:QUQ131234 RDW131233:REM131234 RNS131233:ROI131234 RXO131233:RYE131234 SHK131233:SIA131234 SRG131233:SRW131234 TBC131233:TBS131234 TKY131233:TLO131234 TUU131233:TVK131234 UEQ131233:UFG131234 UOM131233:UPC131234 UYI131233:UYY131234 VIE131233:VIU131234 VSA131233:VSQ131234 WBW131233:WCM131234 WLS131233:WMI131234 WVO131233:WWE131234 G196769:W196770 JC196769:JS196770 SY196769:TO196770 ACU196769:ADK196770 AMQ196769:ANG196770 AWM196769:AXC196770 BGI196769:BGY196770 BQE196769:BQU196770 CAA196769:CAQ196770 CJW196769:CKM196770 CTS196769:CUI196770 DDO196769:DEE196770 DNK196769:DOA196770 DXG196769:DXW196770 EHC196769:EHS196770 EQY196769:ERO196770 FAU196769:FBK196770 FKQ196769:FLG196770 FUM196769:FVC196770 GEI196769:GEY196770 GOE196769:GOU196770 GYA196769:GYQ196770 HHW196769:HIM196770 HRS196769:HSI196770 IBO196769:ICE196770 ILK196769:IMA196770 IVG196769:IVW196770 JFC196769:JFS196770 JOY196769:JPO196770 JYU196769:JZK196770 KIQ196769:KJG196770 KSM196769:KTC196770 LCI196769:LCY196770 LME196769:LMU196770 LWA196769:LWQ196770 MFW196769:MGM196770 MPS196769:MQI196770 MZO196769:NAE196770 NJK196769:NKA196770 NTG196769:NTW196770 ODC196769:ODS196770 OMY196769:ONO196770 OWU196769:OXK196770 PGQ196769:PHG196770 PQM196769:PRC196770 QAI196769:QAY196770 QKE196769:QKU196770 QUA196769:QUQ196770 RDW196769:REM196770 RNS196769:ROI196770 RXO196769:RYE196770 SHK196769:SIA196770 SRG196769:SRW196770 TBC196769:TBS196770 TKY196769:TLO196770 TUU196769:TVK196770 UEQ196769:UFG196770 UOM196769:UPC196770 UYI196769:UYY196770 VIE196769:VIU196770 VSA196769:VSQ196770 WBW196769:WCM196770 WLS196769:WMI196770 WVO196769:WWE196770 G262305:W262306 JC262305:JS262306 SY262305:TO262306 ACU262305:ADK262306 AMQ262305:ANG262306 AWM262305:AXC262306 BGI262305:BGY262306 BQE262305:BQU262306 CAA262305:CAQ262306 CJW262305:CKM262306 CTS262305:CUI262306 DDO262305:DEE262306 DNK262305:DOA262306 DXG262305:DXW262306 EHC262305:EHS262306 EQY262305:ERO262306 FAU262305:FBK262306 FKQ262305:FLG262306 FUM262305:FVC262306 GEI262305:GEY262306 GOE262305:GOU262306 GYA262305:GYQ262306 HHW262305:HIM262306 HRS262305:HSI262306 IBO262305:ICE262306 ILK262305:IMA262306 IVG262305:IVW262306 JFC262305:JFS262306 JOY262305:JPO262306 JYU262305:JZK262306 KIQ262305:KJG262306 KSM262305:KTC262306 LCI262305:LCY262306 LME262305:LMU262306 LWA262305:LWQ262306 MFW262305:MGM262306 MPS262305:MQI262306 MZO262305:NAE262306 NJK262305:NKA262306 NTG262305:NTW262306 ODC262305:ODS262306 OMY262305:ONO262306 OWU262305:OXK262306 PGQ262305:PHG262306 PQM262305:PRC262306 QAI262305:QAY262306 QKE262305:QKU262306 QUA262305:QUQ262306 RDW262305:REM262306 RNS262305:ROI262306 RXO262305:RYE262306 SHK262305:SIA262306 SRG262305:SRW262306 TBC262305:TBS262306 TKY262305:TLO262306 TUU262305:TVK262306 UEQ262305:UFG262306 UOM262305:UPC262306 UYI262305:UYY262306 VIE262305:VIU262306 VSA262305:VSQ262306 WBW262305:WCM262306 WLS262305:WMI262306 WVO262305:WWE262306 G327841:W327842 JC327841:JS327842 SY327841:TO327842 ACU327841:ADK327842 AMQ327841:ANG327842 AWM327841:AXC327842 BGI327841:BGY327842 BQE327841:BQU327842 CAA327841:CAQ327842 CJW327841:CKM327842 CTS327841:CUI327842 DDO327841:DEE327842 DNK327841:DOA327842 DXG327841:DXW327842 EHC327841:EHS327842 EQY327841:ERO327842 FAU327841:FBK327842 FKQ327841:FLG327842 FUM327841:FVC327842 GEI327841:GEY327842 GOE327841:GOU327842 GYA327841:GYQ327842 HHW327841:HIM327842 HRS327841:HSI327842 IBO327841:ICE327842 ILK327841:IMA327842 IVG327841:IVW327842 JFC327841:JFS327842 JOY327841:JPO327842 JYU327841:JZK327842 KIQ327841:KJG327842 KSM327841:KTC327842 LCI327841:LCY327842 LME327841:LMU327842 LWA327841:LWQ327842 MFW327841:MGM327842 MPS327841:MQI327842 MZO327841:NAE327842 NJK327841:NKA327842 NTG327841:NTW327842 ODC327841:ODS327842 OMY327841:ONO327842 OWU327841:OXK327842 PGQ327841:PHG327842 PQM327841:PRC327842 QAI327841:QAY327842 QKE327841:QKU327842 QUA327841:QUQ327842 RDW327841:REM327842 RNS327841:ROI327842 RXO327841:RYE327842 SHK327841:SIA327842 SRG327841:SRW327842 TBC327841:TBS327842 TKY327841:TLO327842 TUU327841:TVK327842 UEQ327841:UFG327842 UOM327841:UPC327842 UYI327841:UYY327842 VIE327841:VIU327842 VSA327841:VSQ327842 WBW327841:WCM327842 WLS327841:WMI327842 WVO327841:WWE327842 G393377:W393378 JC393377:JS393378 SY393377:TO393378 ACU393377:ADK393378 AMQ393377:ANG393378 AWM393377:AXC393378 BGI393377:BGY393378 BQE393377:BQU393378 CAA393377:CAQ393378 CJW393377:CKM393378 CTS393377:CUI393378 DDO393377:DEE393378 DNK393377:DOA393378 DXG393377:DXW393378 EHC393377:EHS393378 EQY393377:ERO393378 FAU393377:FBK393378 FKQ393377:FLG393378 FUM393377:FVC393378 GEI393377:GEY393378 GOE393377:GOU393378 GYA393377:GYQ393378 HHW393377:HIM393378 HRS393377:HSI393378 IBO393377:ICE393378 ILK393377:IMA393378 IVG393377:IVW393378 JFC393377:JFS393378 JOY393377:JPO393378 JYU393377:JZK393378 KIQ393377:KJG393378 KSM393377:KTC393378 LCI393377:LCY393378 LME393377:LMU393378 LWA393377:LWQ393378 MFW393377:MGM393378 MPS393377:MQI393378 MZO393377:NAE393378 NJK393377:NKA393378 NTG393377:NTW393378 ODC393377:ODS393378 OMY393377:ONO393378 OWU393377:OXK393378 PGQ393377:PHG393378 PQM393377:PRC393378 QAI393377:QAY393378 QKE393377:QKU393378 QUA393377:QUQ393378 RDW393377:REM393378 RNS393377:ROI393378 RXO393377:RYE393378 SHK393377:SIA393378 SRG393377:SRW393378 TBC393377:TBS393378 TKY393377:TLO393378 TUU393377:TVK393378 UEQ393377:UFG393378 UOM393377:UPC393378 UYI393377:UYY393378 VIE393377:VIU393378 VSA393377:VSQ393378 WBW393377:WCM393378 WLS393377:WMI393378 WVO393377:WWE393378 G458913:W458914 JC458913:JS458914 SY458913:TO458914 ACU458913:ADK458914 AMQ458913:ANG458914 AWM458913:AXC458914 BGI458913:BGY458914 BQE458913:BQU458914 CAA458913:CAQ458914 CJW458913:CKM458914 CTS458913:CUI458914 DDO458913:DEE458914 DNK458913:DOA458914 DXG458913:DXW458914 EHC458913:EHS458914 EQY458913:ERO458914 FAU458913:FBK458914 FKQ458913:FLG458914 FUM458913:FVC458914 GEI458913:GEY458914 GOE458913:GOU458914 GYA458913:GYQ458914 HHW458913:HIM458914 HRS458913:HSI458914 IBO458913:ICE458914 ILK458913:IMA458914 IVG458913:IVW458914 JFC458913:JFS458914 JOY458913:JPO458914 JYU458913:JZK458914 KIQ458913:KJG458914 KSM458913:KTC458914 LCI458913:LCY458914 LME458913:LMU458914 LWA458913:LWQ458914 MFW458913:MGM458914 MPS458913:MQI458914 MZO458913:NAE458914 NJK458913:NKA458914 NTG458913:NTW458914 ODC458913:ODS458914 OMY458913:ONO458914 OWU458913:OXK458914 PGQ458913:PHG458914 PQM458913:PRC458914 QAI458913:QAY458914 QKE458913:QKU458914 QUA458913:QUQ458914 RDW458913:REM458914 RNS458913:ROI458914 RXO458913:RYE458914 SHK458913:SIA458914 SRG458913:SRW458914 TBC458913:TBS458914 TKY458913:TLO458914 TUU458913:TVK458914 UEQ458913:UFG458914 UOM458913:UPC458914 UYI458913:UYY458914 VIE458913:VIU458914 VSA458913:VSQ458914 WBW458913:WCM458914 WLS458913:WMI458914 WVO458913:WWE458914 G524449:W524450 JC524449:JS524450 SY524449:TO524450 ACU524449:ADK524450 AMQ524449:ANG524450 AWM524449:AXC524450 BGI524449:BGY524450 BQE524449:BQU524450 CAA524449:CAQ524450 CJW524449:CKM524450 CTS524449:CUI524450 DDO524449:DEE524450 DNK524449:DOA524450 DXG524449:DXW524450 EHC524449:EHS524450 EQY524449:ERO524450 FAU524449:FBK524450 FKQ524449:FLG524450 FUM524449:FVC524450 GEI524449:GEY524450 GOE524449:GOU524450 GYA524449:GYQ524450 HHW524449:HIM524450 HRS524449:HSI524450 IBO524449:ICE524450 ILK524449:IMA524450 IVG524449:IVW524450 JFC524449:JFS524450 JOY524449:JPO524450 JYU524449:JZK524450 KIQ524449:KJG524450 KSM524449:KTC524450 LCI524449:LCY524450 LME524449:LMU524450 LWA524449:LWQ524450 MFW524449:MGM524450 MPS524449:MQI524450 MZO524449:NAE524450 NJK524449:NKA524450 NTG524449:NTW524450 ODC524449:ODS524450 OMY524449:ONO524450 OWU524449:OXK524450 PGQ524449:PHG524450 PQM524449:PRC524450 QAI524449:QAY524450 QKE524449:QKU524450 QUA524449:QUQ524450 RDW524449:REM524450 RNS524449:ROI524450 RXO524449:RYE524450 SHK524449:SIA524450 SRG524449:SRW524450 TBC524449:TBS524450 TKY524449:TLO524450 TUU524449:TVK524450 UEQ524449:UFG524450 UOM524449:UPC524450 UYI524449:UYY524450 VIE524449:VIU524450 VSA524449:VSQ524450 WBW524449:WCM524450 WLS524449:WMI524450 WVO524449:WWE524450 G589985:W589986 JC589985:JS589986 SY589985:TO589986 ACU589985:ADK589986 AMQ589985:ANG589986 AWM589985:AXC589986 BGI589985:BGY589986 BQE589985:BQU589986 CAA589985:CAQ589986 CJW589985:CKM589986 CTS589985:CUI589986 DDO589985:DEE589986 DNK589985:DOA589986 DXG589985:DXW589986 EHC589985:EHS589986 EQY589985:ERO589986 FAU589985:FBK589986 FKQ589985:FLG589986 FUM589985:FVC589986 GEI589985:GEY589986 GOE589985:GOU589986 GYA589985:GYQ589986 HHW589985:HIM589986 HRS589985:HSI589986 IBO589985:ICE589986 ILK589985:IMA589986 IVG589985:IVW589986 JFC589985:JFS589986 JOY589985:JPO589986 JYU589985:JZK589986 KIQ589985:KJG589986 KSM589985:KTC589986 LCI589985:LCY589986 LME589985:LMU589986 LWA589985:LWQ589986 MFW589985:MGM589986 MPS589985:MQI589986 MZO589985:NAE589986 NJK589985:NKA589986 NTG589985:NTW589986 ODC589985:ODS589986 OMY589985:ONO589986 OWU589985:OXK589986 PGQ589985:PHG589986 PQM589985:PRC589986 QAI589985:QAY589986 QKE589985:QKU589986 QUA589985:QUQ589986 RDW589985:REM589986 RNS589985:ROI589986 RXO589985:RYE589986 SHK589985:SIA589986 SRG589985:SRW589986 TBC589985:TBS589986 TKY589985:TLO589986 TUU589985:TVK589986 UEQ589985:UFG589986 UOM589985:UPC589986 UYI589985:UYY589986 VIE589985:VIU589986 VSA589985:VSQ589986 WBW589985:WCM589986 WLS589985:WMI589986 WVO589985:WWE589986 G655521:W655522 JC655521:JS655522 SY655521:TO655522 ACU655521:ADK655522 AMQ655521:ANG655522 AWM655521:AXC655522 BGI655521:BGY655522 BQE655521:BQU655522 CAA655521:CAQ655522 CJW655521:CKM655522 CTS655521:CUI655522 DDO655521:DEE655522 DNK655521:DOA655522 DXG655521:DXW655522 EHC655521:EHS655522 EQY655521:ERO655522 FAU655521:FBK655522 FKQ655521:FLG655522 FUM655521:FVC655522 GEI655521:GEY655522 GOE655521:GOU655522 GYA655521:GYQ655522 HHW655521:HIM655522 HRS655521:HSI655522 IBO655521:ICE655522 ILK655521:IMA655522 IVG655521:IVW655522 JFC655521:JFS655522 JOY655521:JPO655522 JYU655521:JZK655522 KIQ655521:KJG655522 KSM655521:KTC655522 LCI655521:LCY655522 LME655521:LMU655522 LWA655521:LWQ655522 MFW655521:MGM655522 MPS655521:MQI655522 MZO655521:NAE655522 NJK655521:NKA655522 NTG655521:NTW655522 ODC655521:ODS655522 OMY655521:ONO655522 OWU655521:OXK655522 PGQ655521:PHG655522 PQM655521:PRC655522 QAI655521:QAY655522 QKE655521:QKU655522 QUA655521:QUQ655522 RDW655521:REM655522 RNS655521:ROI655522 RXO655521:RYE655522 SHK655521:SIA655522 SRG655521:SRW655522 TBC655521:TBS655522 TKY655521:TLO655522 TUU655521:TVK655522 UEQ655521:UFG655522 UOM655521:UPC655522 UYI655521:UYY655522 VIE655521:VIU655522 VSA655521:VSQ655522 WBW655521:WCM655522 WLS655521:WMI655522 WVO655521:WWE655522 G721057:W721058 JC721057:JS721058 SY721057:TO721058 ACU721057:ADK721058 AMQ721057:ANG721058 AWM721057:AXC721058 BGI721057:BGY721058 BQE721057:BQU721058 CAA721057:CAQ721058 CJW721057:CKM721058 CTS721057:CUI721058 DDO721057:DEE721058 DNK721057:DOA721058 DXG721057:DXW721058 EHC721057:EHS721058 EQY721057:ERO721058 FAU721057:FBK721058 FKQ721057:FLG721058 FUM721057:FVC721058 GEI721057:GEY721058 GOE721057:GOU721058 GYA721057:GYQ721058 HHW721057:HIM721058 HRS721057:HSI721058 IBO721057:ICE721058 ILK721057:IMA721058 IVG721057:IVW721058 JFC721057:JFS721058 JOY721057:JPO721058 JYU721057:JZK721058 KIQ721057:KJG721058 KSM721057:KTC721058 LCI721057:LCY721058 LME721057:LMU721058 LWA721057:LWQ721058 MFW721057:MGM721058 MPS721057:MQI721058 MZO721057:NAE721058 NJK721057:NKA721058 NTG721057:NTW721058 ODC721057:ODS721058 OMY721057:ONO721058 OWU721057:OXK721058 PGQ721057:PHG721058 PQM721057:PRC721058 QAI721057:QAY721058 QKE721057:QKU721058 QUA721057:QUQ721058 RDW721057:REM721058 RNS721057:ROI721058 RXO721057:RYE721058 SHK721057:SIA721058 SRG721057:SRW721058 TBC721057:TBS721058 TKY721057:TLO721058 TUU721057:TVK721058 UEQ721057:UFG721058 UOM721057:UPC721058 UYI721057:UYY721058 VIE721057:VIU721058 VSA721057:VSQ721058 WBW721057:WCM721058 WLS721057:WMI721058 WVO721057:WWE721058 G786593:W786594 JC786593:JS786594 SY786593:TO786594 ACU786593:ADK786594 AMQ786593:ANG786594 AWM786593:AXC786594 BGI786593:BGY786594 BQE786593:BQU786594 CAA786593:CAQ786594 CJW786593:CKM786594 CTS786593:CUI786594 DDO786593:DEE786594 DNK786593:DOA786594 DXG786593:DXW786594 EHC786593:EHS786594 EQY786593:ERO786594 FAU786593:FBK786594 FKQ786593:FLG786594 FUM786593:FVC786594 GEI786593:GEY786594 GOE786593:GOU786594 GYA786593:GYQ786594 HHW786593:HIM786594 HRS786593:HSI786594 IBO786593:ICE786594 ILK786593:IMA786594 IVG786593:IVW786594 JFC786593:JFS786594 JOY786593:JPO786594 JYU786593:JZK786594 KIQ786593:KJG786594 KSM786593:KTC786594 LCI786593:LCY786594 LME786593:LMU786594 LWA786593:LWQ786594 MFW786593:MGM786594 MPS786593:MQI786594 MZO786593:NAE786594 NJK786593:NKA786594 NTG786593:NTW786594 ODC786593:ODS786594 OMY786593:ONO786594 OWU786593:OXK786594 PGQ786593:PHG786594 PQM786593:PRC786594 QAI786593:QAY786594 QKE786593:QKU786594 QUA786593:QUQ786594 RDW786593:REM786594 RNS786593:ROI786594 RXO786593:RYE786594 SHK786593:SIA786594 SRG786593:SRW786594 TBC786593:TBS786594 TKY786593:TLO786594 TUU786593:TVK786594 UEQ786593:UFG786594 UOM786593:UPC786594 UYI786593:UYY786594 VIE786593:VIU786594 VSA786593:VSQ786594 WBW786593:WCM786594 WLS786593:WMI786594 WVO786593:WWE786594 G852129:W852130 JC852129:JS852130 SY852129:TO852130 ACU852129:ADK852130 AMQ852129:ANG852130 AWM852129:AXC852130 BGI852129:BGY852130 BQE852129:BQU852130 CAA852129:CAQ852130 CJW852129:CKM852130 CTS852129:CUI852130 DDO852129:DEE852130 DNK852129:DOA852130 DXG852129:DXW852130 EHC852129:EHS852130 EQY852129:ERO852130 FAU852129:FBK852130 FKQ852129:FLG852130 FUM852129:FVC852130 GEI852129:GEY852130 GOE852129:GOU852130 GYA852129:GYQ852130 HHW852129:HIM852130 HRS852129:HSI852130 IBO852129:ICE852130 ILK852129:IMA852130 IVG852129:IVW852130 JFC852129:JFS852130 JOY852129:JPO852130 JYU852129:JZK852130 KIQ852129:KJG852130 KSM852129:KTC852130 LCI852129:LCY852130 LME852129:LMU852130 LWA852129:LWQ852130 MFW852129:MGM852130 MPS852129:MQI852130 MZO852129:NAE852130 NJK852129:NKA852130 NTG852129:NTW852130 ODC852129:ODS852130 OMY852129:ONO852130 OWU852129:OXK852130 PGQ852129:PHG852130 PQM852129:PRC852130 QAI852129:QAY852130 QKE852129:QKU852130 QUA852129:QUQ852130 RDW852129:REM852130 RNS852129:ROI852130 RXO852129:RYE852130 SHK852129:SIA852130 SRG852129:SRW852130 TBC852129:TBS852130 TKY852129:TLO852130 TUU852129:TVK852130 UEQ852129:UFG852130 UOM852129:UPC852130 UYI852129:UYY852130 VIE852129:VIU852130 VSA852129:VSQ852130 WBW852129:WCM852130 WLS852129:WMI852130 WVO852129:WWE852130 G917665:W917666 JC917665:JS917666 SY917665:TO917666 ACU917665:ADK917666 AMQ917665:ANG917666 AWM917665:AXC917666 BGI917665:BGY917666 BQE917665:BQU917666 CAA917665:CAQ917666 CJW917665:CKM917666 CTS917665:CUI917666 DDO917665:DEE917666 DNK917665:DOA917666 DXG917665:DXW917666 EHC917665:EHS917666 EQY917665:ERO917666 FAU917665:FBK917666 FKQ917665:FLG917666 FUM917665:FVC917666 GEI917665:GEY917666 GOE917665:GOU917666 GYA917665:GYQ917666 HHW917665:HIM917666 HRS917665:HSI917666 IBO917665:ICE917666 ILK917665:IMA917666 IVG917665:IVW917666 JFC917665:JFS917666 JOY917665:JPO917666 JYU917665:JZK917666 KIQ917665:KJG917666 KSM917665:KTC917666 LCI917665:LCY917666 LME917665:LMU917666 LWA917665:LWQ917666 MFW917665:MGM917666 MPS917665:MQI917666 MZO917665:NAE917666 NJK917665:NKA917666 NTG917665:NTW917666 ODC917665:ODS917666 OMY917665:ONO917666 OWU917665:OXK917666 PGQ917665:PHG917666 PQM917665:PRC917666 QAI917665:QAY917666 QKE917665:QKU917666 QUA917665:QUQ917666 RDW917665:REM917666 RNS917665:ROI917666 RXO917665:RYE917666 SHK917665:SIA917666 SRG917665:SRW917666 TBC917665:TBS917666 TKY917665:TLO917666 TUU917665:TVK917666 UEQ917665:UFG917666 UOM917665:UPC917666 UYI917665:UYY917666 VIE917665:VIU917666 VSA917665:VSQ917666 WBW917665:WCM917666 WLS917665:WMI917666 WVO917665:WWE917666 G983201:W983202 JC983201:JS983202 SY983201:TO983202 ACU983201:ADK983202 AMQ983201:ANG983202 AWM983201:AXC983202 BGI983201:BGY983202 BQE983201:BQU983202 CAA983201:CAQ983202 CJW983201:CKM983202 CTS983201:CUI983202 DDO983201:DEE983202 DNK983201:DOA983202 DXG983201:DXW983202 EHC983201:EHS983202 EQY983201:ERO983202 FAU983201:FBK983202 FKQ983201:FLG983202 FUM983201:FVC983202 GEI983201:GEY983202 GOE983201:GOU983202 GYA983201:GYQ983202 HHW983201:HIM983202 HRS983201:HSI983202 IBO983201:ICE983202 ILK983201:IMA983202 IVG983201:IVW983202 JFC983201:JFS983202 JOY983201:JPO983202 JYU983201:JZK983202 KIQ983201:KJG983202 KSM983201:KTC983202 LCI983201:LCY983202 LME983201:LMU983202 LWA983201:LWQ983202 MFW983201:MGM983202 MPS983201:MQI983202 MZO983201:NAE983202 NJK983201:NKA983202 NTG983201:NTW983202 ODC983201:ODS983202 OMY983201:ONO983202 OWU983201:OXK983202 PGQ983201:PHG983202 PQM983201:PRC983202 QAI983201:QAY983202 QKE983201:QKU983202 QUA983201:QUQ983202 RDW983201:REM983202 RNS983201:ROI983202 RXO983201:RYE983202 SHK983201:SIA983202 SRG983201:SRW983202 TBC983201:TBS983202 TKY983201:TLO983202 TUU983201:TVK983202 UEQ983201:UFG983202 UOM983201:UPC983202 UYI983201:UYY983202 VIE983201:VIU983202 VSA983201:VSQ983202 WBW983201:WCM983202 WLS983201:WMI983202 WVO983201:WWE983202 Q177:V177 JM177:JR177 TI177:TN177 ADE177:ADJ177 ANA177:ANF177 AWW177:AXB177 BGS177:BGX177 BQO177:BQT177 CAK177:CAP177 CKG177:CKL177 CUC177:CUH177 DDY177:DED177 DNU177:DNZ177 DXQ177:DXV177 EHM177:EHR177 ERI177:ERN177 FBE177:FBJ177 FLA177:FLF177 FUW177:FVB177 GES177:GEX177 GOO177:GOT177 GYK177:GYP177 HIG177:HIL177 HSC177:HSH177 IBY177:ICD177 ILU177:ILZ177 IVQ177:IVV177 JFM177:JFR177 JPI177:JPN177 JZE177:JZJ177 KJA177:KJF177 KSW177:KTB177 LCS177:LCX177 LMO177:LMT177 LWK177:LWP177 MGG177:MGL177 MQC177:MQH177 MZY177:NAD177 NJU177:NJZ177 NTQ177:NTV177 ODM177:ODR177 ONI177:ONN177 OXE177:OXJ177 PHA177:PHF177 PQW177:PRB177 QAS177:QAX177 QKO177:QKT177 QUK177:QUP177 REG177:REL177 ROC177:ROH177 RXY177:RYD177 SHU177:SHZ177 SRQ177:SRV177 TBM177:TBR177 TLI177:TLN177 TVE177:TVJ177 UFA177:UFF177 UOW177:UPB177 UYS177:UYX177 VIO177:VIT177 VSK177:VSP177 WCG177:WCL177 WMC177:WMH177 WVY177:WWD177 Q65713:V65713 JM65713:JR65713 TI65713:TN65713 ADE65713:ADJ65713 ANA65713:ANF65713 AWW65713:AXB65713 BGS65713:BGX65713 BQO65713:BQT65713 CAK65713:CAP65713 CKG65713:CKL65713 CUC65713:CUH65713 DDY65713:DED65713 DNU65713:DNZ65713 DXQ65713:DXV65713 EHM65713:EHR65713 ERI65713:ERN65713 FBE65713:FBJ65713 FLA65713:FLF65713 FUW65713:FVB65713 GES65713:GEX65713 GOO65713:GOT65713 GYK65713:GYP65713 HIG65713:HIL65713 HSC65713:HSH65713 IBY65713:ICD65713 ILU65713:ILZ65713 IVQ65713:IVV65713 JFM65713:JFR65713 JPI65713:JPN65713 JZE65713:JZJ65713 KJA65713:KJF65713 KSW65713:KTB65713 LCS65713:LCX65713 LMO65713:LMT65713 LWK65713:LWP65713 MGG65713:MGL65713 MQC65713:MQH65713 MZY65713:NAD65713 NJU65713:NJZ65713 NTQ65713:NTV65713 ODM65713:ODR65713 ONI65713:ONN65713 OXE65713:OXJ65713 PHA65713:PHF65713 PQW65713:PRB65713 QAS65713:QAX65713 QKO65713:QKT65713 QUK65713:QUP65713 REG65713:REL65713 ROC65713:ROH65713 RXY65713:RYD65713 SHU65713:SHZ65713 SRQ65713:SRV65713 TBM65713:TBR65713 TLI65713:TLN65713 TVE65713:TVJ65713 UFA65713:UFF65713 UOW65713:UPB65713 UYS65713:UYX65713 VIO65713:VIT65713 VSK65713:VSP65713 WCG65713:WCL65713 WMC65713:WMH65713 WVY65713:WWD65713 Q131249:V131249 JM131249:JR131249 TI131249:TN131249 ADE131249:ADJ131249 ANA131249:ANF131249 AWW131249:AXB131249 BGS131249:BGX131249 BQO131249:BQT131249 CAK131249:CAP131249 CKG131249:CKL131249 CUC131249:CUH131249 DDY131249:DED131249 DNU131249:DNZ131249 DXQ131249:DXV131249 EHM131249:EHR131249 ERI131249:ERN131249 FBE131249:FBJ131249 FLA131249:FLF131249 FUW131249:FVB131249 GES131249:GEX131249 GOO131249:GOT131249 GYK131249:GYP131249 HIG131249:HIL131249 HSC131249:HSH131249 IBY131249:ICD131249 ILU131249:ILZ131249 IVQ131249:IVV131249 JFM131249:JFR131249 JPI131249:JPN131249 JZE131249:JZJ131249 KJA131249:KJF131249 KSW131249:KTB131249 LCS131249:LCX131249 LMO131249:LMT131249 LWK131249:LWP131249 MGG131249:MGL131249 MQC131249:MQH131249 MZY131249:NAD131249 NJU131249:NJZ131249 NTQ131249:NTV131249 ODM131249:ODR131249 ONI131249:ONN131249 OXE131249:OXJ131249 PHA131249:PHF131249 PQW131249:PRB131249 QAS131249:QAX131249 QKO131249:QKT131249 QUK131249:QUP131249 REG131249:REL131249 ROC131249:ROH131249 RXY131249:RYD131249 SHU131249:SHZ131249 SRQ131249:SRV131249 TBM131249:TBR131249 TLI131249:TLN131249 TVE131249:TVJ131249 UFA131249:UFF131249 UOW131249:UPB131249 UYS131249:UYX131249 VIO131249:VIT131249 VSK131249:VSP131249 WCG131249:WCL131249 WMC131249:WMH131249 WVY131249:WWD131249 Q196785:V196785 JM196785:JR196785 TI196785:TN196785 ADE196785:ADJ196785 ANA196785:ANF196785 AWW196785:AXB196785 BGS196785:BGX196785 BQO196785:BQT196785 CAK196785:CAP196785 CKG196785:CKL196785 CUC196785:CUH196785 DDY196785:DED196785 DNU196785:DNZ196785 DXQ196785:DXV196785 EHM196785:EHR196785 ERI196785:ERN196785 FBE196785:FBJ196785 FLA196785:FLF196785 FUW196785:FVB196785 GES196785:GEX196785 GOO196785:GOT196785 GYK196785:GYP196785 HIG196785:HIL196785 HSC196785:HSH196785 IBY196785:ICD196785 ILU196785:ILZ196785 IVQ196785:IVV196785 JFM196785:JFR196785 JPI196785:JPN196785 JZE196785:JZJ196785 KJA196785:KJF196785 KSW196785:KTB196785 LCS196785:LCX196785 LMO196785:LMT196785 LWK196785:LWP196785 MGG196785:MGL196785 MQC196785:MQH196785 MZY196785:NAD196785 NJU196785:NJZ196785 NTQ196785:NTV196785 ODM196785:ODR196785 ONI196785:ONN196785 OXE196785:OXJ196785 PHA196785:PHF196785 PQW196785:PRB196785 QAS196785:QAX196785 QKO196785:QKT196785 QUK196785:QUP196785 REG196785:REL196785 ROC196785:ROH196785 RXY196785:RYD196785 SHU196785:SHZ196785 SRQ196785:SRV196785 TBM196785:TBR196785 TLI196785:TLN196785 TVE196785:TVJ196785 UFA196785:UFF196785 UOW196785:UPB196785 UYS196785:UYX196785 VIO196785:VIT196785 VSK196785:VSP196785 WCG196785:WCL196785 WMC196785:WMH196785 WVY196785:WWD196785 Q262321:V262321 JM262321:JR262321 TI262321:TN262321 ADE262321:ADJ262321 ANA262321:ANF262321 AWW262321:AXB262321 BGS262321:BGX262321 BQO262321:BQT262321 CAK262321:CAP262321 CKG262321:CKL262321 CUC262321:CUH262321 DDY262321:DED262321 DNU262321:DNZ262321 DXQ262321:DXV262321 EHM262321:EHR262321 ERI262321:ERN262321 FBE262321:FBJ262321 FLA262321:FLF262321 FUW262321:FVB262321 GES262321:GEX262321 GOO262321:GOT262321 GYK262321:GYP262321 HIG262321:HIL262321 HSC262321:HSH262321 IBY262321:ICD262321 ILU262321:ILZ262321 IVQ262321:IVV262321 JFM262321:JFR262321 JPI262321:JPN262321 JZE262321:JZJ262321 KJA262321:KJF262321 KSW262321:KTB262321 LCS262321:LCX262321 LMO262321:LMT262321 LWK262321:LWP262321 MGG262321:MGL262321 MQC262321:MQH262321 MZY262321:NAD262321 NJU262321:NJZ262321 NTQ262321:NTV262321 ODM262321:ODR262321 ONI262321:ONN262321 OXE262321:OXJ262321 PHA262321:PHF262321 PQW262321:PRB262321 QAS262321:QAX262321 QKO262321:QKT262321 QUK262321:QUP262321 REG262321:REL262321 ROC262321:ROH262321 RXY262321:RYD262321 SHU262321:SHZ262321 SRQ262321:SRV262321 TBM262321:TBR262321 TLI262321:TLN262321 TVE262321:TVJ262321 UFA262321:UFF262321 UOW262321:UPB262321 UYS262321:UYX262321 VIO262321:VIT262321 VSK262321:VSP262321 WCG262321:WCL262321 WMC262321:WMH262321 WVY262321:WWD262321 Q327857:V327857 JM327857:JR327857 TI327857:TN327857 ADE327857:ADJ327857 ANA327857:ANF327857 AWW327857:AXB327857 BGS327857:BGX327857 BQO327857:BQT327857 CAK327857:CAP327857 CKG327857:CKL327857 CUC327857:CUH327857 DDY327857:DED327857 DNU327857:DNZ327857 DXQ327857:DXV327857 EHM327857:EHR327857 ERI327857:ERN327857 FBE327857:FBJ327857 FLA327857:FLF327857 FUW327857:FVB327857 GES327857:GEX327857 GOO327857:GOT327857 GYK327857:GYP327857 HIG327857:HIL327857 HSC327857:HSH327857 IBY327857:ICD327857 ILU327857:ILZ327857 IVQ327857:IVV327857 JFM327857:JFR327857 JPI327857:JPN327857 JZE327857:JZJ327857 KJA327857:KJF327857 KSW327857:KTB327857 LCS327857:LCX327857 LMO327857:LMT327857 LWK327857:LWP327857 MGG327857:MGL327857 MQC327857:MQH327857 MZY327857:NAD327857 NJU327857:NJZ327857 NTQ327857:NTV327857 ODM327857:ODR327857 ONI327857:ONN327857 OXE327857:OXJ327857 PHA327857:PHF327857 PQW327857:PRB327857 QAS327857:QAX327857 QKO327857:QKT327857 QUK327857:QUP327857 REG327857:REL327857 ROC327857:ROH327857 RXY327857:RYD327857 SHU327857:SHZ327857 SRQ327857:SRV327857 TBM327857:TBR327857 TLI327857:TLN327857 TVE327857:TVJ327857 UFA327857:UFF327857 UOW327857:UPB327857 UYS327857:UYX327857 VIO327857:VIT327857 VSK327857:VSP327857 WCG327857:WCL327857 WMC327857:WMH327857 WVY327857:WWD327857 Q393393:V393393 JM393393:JR393393 TI393393:TN393393 ADE393393:ADJ393393 ANA393393:ANF393393 AWW393393:AXB393393 BGS393393:BGX393393 BQO393393:BQT393393 CAK393393:CAP393393 CKG393393:CKL393393 CUC393393:CUH393393 DDY393393:DED393393 DNU393393:DNZ393393 DXQ393393:DXV393393 EHM393393:EHR393393 ERI393393:ERN393393 FBE393393:FBJ393393 FLA393393:FLF393393 FUW393393:FVB393393 GES393393:GEX393393 GOO393393:GOT393393 GYK393393:GYP393393 HIG393393:HIL393393 HSC393393:HSH393393 IBY393393:ICD393393 ILU393393:ILZ393393 IVQ393393:IVV393393 JFM393393:JFR393393 JPI393393:JPN393393 JZE393393:JZJ393393 KJA393393:KJF393393 KSW393393:KTB393393 LCS393393:LCX393393 LMO393393:LMT393393 LWK393393:LWP393393 MGG393393:MGL393393 MQC393393:MQH393393 MZY393393:NAD393393 NJU393393:NJZ393393 NTQ393393:NTV393393 ODM393393:ODR393393 ONI393393:ONN393393 OXE393393:OXJ393393 PHA393393:PHF393393 PQW393393:PRB393393 QAS393393:QAX393393 QKO393393:QKT393393 QUK393393:QUP393393 REG393393:REL393393 ROC393393:ROH393393 RXY393393:RYD393393 SHU393393:SHZ393393 SRQ393393:SRV393393 TBM393393:TBR393393 TLI393393:TLN393393 TVE393393:TVJ393393 UFA393393:UFF393393 UOW393393:UPB393393 UYS393393:UYX393393 VIO393393:VIT393393 VSK393393:VSP393393 WCG393393:WCL393393 WMC393393:WMH393393 WVY393393:WWD393393 Q458929:V458929 JM458929:JR458929 TI458929:TN458929 ADE458929:ADJ458929 ANA458929:ANF458929 AWW458929:AXB458929 BGS458929:BGX458929 BQO458929:BQT458929 CAK458929:CAP458929 CKG458929:CKL458929 CUC458929:CUH458929 DDY458929:DED458929 DNU458929:DNZ458929 DXQ458929:DXV458929 EHM458929:EHR458929 ERI458929:ERN458929 FBE458929:FBJ458929 FLA458929:FLF458929 FUW458929:FVB458929 GES458929:GEX458929 GOO458929:GOT458929 GYK458929:GYP458929 HIG458929:HIL458929 HSC458929:HSH458929 IBY458929:ICD458929 ILU458929:ILZ458929 IVQ458929:IVV458929 JFM458929:JFR458929 JPI458929:JPN458929 JZE458929:JZJ458929 KJA458929:KJF458929 KSW458929:KTB458929 LCS458929:LCX458929 LMO458929:LMT458929 LWK458929:LWP458929 MGG458929:MGL458929 MQC458929:MQH458929 MZY458929:NAD458929 NJU458929:NJZ458929 NTQ458929:NTV458929 ODM458929:ODR458929 ONI458929:ONN458929 OXE458929:OXJ458929 PHA458929:PHF458929 PQW458929:PRB458929 QAS458929:QAX458929 QKO458929:QKT458929 QUK458929:QUP458929 REG458929:REL458929 ROC458929:ROH458929 RXY458929:RYD458929 SHU458929:SHZ458929 SRQ458929:SRV458929 TBM458929:TBR458929 TLI458929:TLN458929 TVE458929:TVJ458929 UFA458929:UFF458929 UOW458929:UPB458929 UYS458929:UYX458929 VIO458929:VIT458929 VSK458929:VSP458929 WCG458929:WCL458929 WMC458929:WMH458929 WVY458929:WWD458929 Q524465:V524465 JM524465:JR524465 TI524465:TN524465 ADE524465:ADJ524465 ANA524465:ANF524465 AWW524465:AXB524465 BGS524465:BGX524465 BQO524465:BQT524465 CAK524465:CAP524465 CKG524465:CKL524465 CUC524465:CUH524465 DDY524465:DED524465 DNU524465:DNZ524465 DXQ524465:DXV524465 EHM524465:EHR524465 ERI524465:ERN524465 FBE524465:FBJ524465 FLA524465:FLF524465 FUW524465:FVB524465 GES524465:GEX524465 GOO524465:GOT524465 GYK524465:GYP524465 HIG524465:HIL524465 HSC524465:HSH524465 IBY524465:ICD524465 ILU524465:ILZ524465 IVQ524465:IVV524465 JFM524465:JFR524465 JPI524465:JPN524465 JZE524465:JZJ524465 KJA524465:KJF524465 KSW524465:KTB524465 LCS524465:LCX524465 LMO524465:LMT524465 LWK524465:LWP524465 MGG524465:MGL524465 MQC524465:MQH524465 MZY524465:NAD524465 NJU524465:NJZ524465 NTQ524465:NTV524465 ODM524465:ODR524465 ONI524465:ONN524465 OXE524465:OXJ524465 PHA524465:PHF524465 PQW524465:PRB524465 QAS524465:QAX524465 QKO524465:QKT524465 QUK524465:QUP524465 REG524465:REL524465 ROC524465:ROH524465 RXY524465:RYD524465 SHU524465:SHZ524465 SRQ524465:SRV524465 TBM524465:TBR524465 TLI524465:TLN524465 TVE524465:TVJ524465 UFA524465:UFF524465 UOW524465:UPB524465 UYS524465:UYX524465 VIO524465:VIT524465 VSK524465:VSP524465 WCG524465:WCL524465 WMC524465:WMH524465 WVY524465:WWD524465 Q590001:V590001 JM590001:JR590001 TI590001:TN590001 ADE590001:ADJ590001 ANA590001:ANF590001 AWW590001:AXB590001 BGS590001:BGX590001 BQO590001:BQT590001 CAK590001:CAP590001 CKG590001:CKL590001 CUC590001:CUH590001 DDY590001:DED590001 DNU590001:DNZ590001 DXQ590001:DXV590001 EHM590001:EHR590001 ERI590001:ERN590001 FBE590001:FBJ590001 FLA590001:FLF590001 FUW590001:FVB590001 GES590001:GEX590001 GOO590001:GOT590001 GYK590001:GYP590001 HIG590001:HIL590001 HSC590001:HSH590001 IBY590001:ICD590001 ILU590001:ILZ590001 IVQ590001:IVV590001 JFM590001:JFR590001 JPI590001:JPN590001 JZE590001:JZJ590001 KJA590001:KJF590001 KSW590001:KTB590001 LCS590001:LCX590001 LMO590001:LMT590001 LWK590001:LWP590001 MGG590001:MGL590001 MQC590001:MQH590001 MZY590001:NAD590001 NJU590001:NJZ590001 NTQ590001:NTV590001 ODM590001:ODR590001 ONI590001:ONN590001 OXE590001:OXJ590001 PHA590001:PHF590001 PQW590001:PRB590001 QAS590001:QAX590001 QKO590001:QKT590001 QUK590001:QUP590001 REG590001:REL590001 ROC590001:ROH590001 RXY590001:RYD590001 SHU590001:SHZ590001 SRQ590001:SRV590001 TBM590001:TBR590001 TLI590001:TLN590001 TVE590001:TVJ590001 UFA590001:UFF590001 UOW590001:UPB590001 UYS590001:UYX590001 VIO590001:VIT590001 VSK590001:VSP590001 WCG590001:WCL590001 WMC590001:WMH590001 WVY590001:WWD590001 Q655537:V655537 JM655537:JR655537 TI655537:TN655537 ADE655537:ADJ655537 ANA655537:ANF655537 AWW655537:AXB655537 BGS655537:BGX655537 BQO655537:BQT655537 CAK655537:CAP655537 CKG655537:CKL655537 CUC655537:CUH655537 DDY655537:DED655537 DNU655537:DNZ655537 DXQ655537:DXV655537 EHM655537:EHR655537 ERI655537:ERN655537 FBE655537:FBJ655537 FLA655537:FLF655537 FUW655537:FVB655537 GES655537:GEX655537 GOO655537:GOT655537 GYK655537:GYP655537 HIG655537:HIL655537 HSC655537:HSH655537 IBY655537:ICD655537 ILU655537:ILZ655537 IVQ655537:IVV655537 JFM655537:JFR655537 JPI655537:JPN655537 JZE655537:JZJ655537 KJA655537:KJF655537 KSW655537:KTB655537 LCS655537:LCX655537 LMO655537:LMT655537 LWK655537:LWP655537 MGG655537:MGL655537 MQC655537:MQH655537 MZY655537:NAD655537 NJU655537:NJZ655537 NTQ655537:NTV655537 ODM655537:ODR655537 ONI655537:ONN655537 OXE655537:OXJ655537 PHA655537:PHF655537 PQW655537:PRB655537 QAS655537:QAX655537 QKO655537:QKT655537 QUK655537:QUP655537 REG655537:REL655537 ROC655537:ROH655537 RXY655537:RYD655537 SHU655537:SHZ655537 SRQ655537:SRV655537 TBM655537:TBR655537 TLI655537:TLN655537 TVE655537:TVJ655537 UFA655537:UFF655537 UOW655537:UPB655537 UYS655537:UYX655537 VIO655537:VIT655537 VSK655537:VSP655537 WCG655537:WCL655537 WMC655537:WMH655537 WVY655537:WWD655537 Q721073:V721073 JM721073:JR721073 TI721073:TN721073 ADE721073:ADJ721073 ANA721073:ANF721073 AWW721073:AXB721073 BGS721073:BGX721073 BQO721073:BQT721073 CAK721073:CAP721073 CKG721073:CKL721073 CUC721073:CUH721073 DDY721073:DED721073 DNU721073:DNZ721073 DXQ721073:DXV721073 EHM721073:EHR721073 ERI721073:ERN721073 FBE721073:FBJ721073 FLA721073:FLF721073 FUW721073:FVB721073 GES721073:GEX721073 GOO721073:GOT721073 GYK721073:GYP721073 HIG721073:HIL721073 HSC721073:HSH721073 IBY721073:ICD721073 ILU721073:ILZ721073 IVQ721073:IVV721073 JFM721073:JFR721073 JPI721073:JPN721073 JZE721073:JZJ721073 KJA721073:KJF721073 KSW721073:KTB721073 LCS721073:LCX721073 LMO721073:LMT721073 LWK721073:LWP721073 MGG721073:MGL721073 MQC721073:MQH721073 MZY721073:NAD721073 NJU721073:NJZ721073 NTQ721073:NTV721073 ODM721073:ODR721073 ONI721073:ONN721073 OXE721073:OXJ721073 PHA721073:PHF721073 PQW721073:PRB721073 QAS721073:QAX721073 QKO721073:QKT721073 QUK721073:QUP721073 REG721073:REL721073 ROC721073:ROH721073 RXY721073:RYD721073 SHU721073:SHZ721073 SRQ721073:SRV721073 TBM721073:TBR721073 TLI721073:TLN721073 TVE721073:TVJ721073 UFA721073:UFF721073 UOW721073:UPB721073 UYS721073:UYX721073 VIO721073:VIT721073 VSK721073:VSP721073 WCG721073:WCL721073 WMC721073:WMH721073 WVY721073:WWD721073 Q786609:V786609 JM786609:JR786609 TI786609:TN786609 ADE786609:ADJ786609 ANA786609:ANF786609 AWW786609:AXB786609 BGS786609:BGX786609 BQO786609:BQT786609 CAK786609:CAP786609 CKG786609:CKL786609 CUC786609:CUH786609 DDY786609:DED786609 DNU786609:DNZ786609 DXQ786609:DXV786609 EHM786609:EHR786609 ERI786609:ERN786609 FBE786609:FBJ786609 FLA786609:FLF786609 FUW786609:FVB786609 GES786609:GEX786609 GOO786609:GOT786609 GYK786609:GYP786609 HIG786609:HIL786609 HSC786609:HSH786609 IBY786609:ICD786609 ILU786609:ILZ786609 IVQ786609:IVV786609 JFM786609:JFR786609 JPI786609:JPN786609 JZE786609:JZJ786609 KJA786609:KJF786609 KSW786609:KTB786609 LCS786609:LCX786609 LMO786609:LMT786609 LWK786609:LWP786609 MGG786609:MGL786609 MQC786609:MQH786609 MZY786609:NAD786609 NJU786609:NJZ786609 NTQ786609:NTV786609 ODM786609:ODR786609 ONI786609:ONN786609 OXE786609:OXJ786609 PHA786609:PHF786609 PQW786609:PRB786609 QAS786609:QAX786609 QKO786609:QKT786609 QUK786609:QUP786609 REG786609:REL786609 ROC786609:ROH786609 RXY786609:RYD786609 SHU786609:SHZ786609 SRQ786609:SRV786609 TBM786609:TBR786609 TLI786609:TLN786609 TVE786609:TVJ786609 UFA786609:UFF786609 UOW786609:UPB786609 UYS786609:UYX786609 VIO786609:VIT786609 VSK786609:VSP786609 WCG786609:WCL786609 WMC786609:WMH786609 WVY786609:WWD786609 Q852145:V852145 JM852145:JR852145 TI852145:TN852145 ADE852145:ADJ852145 ANA852145:ANF852145 AWW852145:AXB852145 BGS852145:BGX852145 BQO852145:BQT852145 CAK852145:CAP852145 CKG852145:CKL852145 CUC852145:CUH852145 DDY852145:DED852145 DNU852145:DNZ852145 DXQ852145:DXV852145 EHM852145:EHR852145 ERI852145:ERN852145 FBE852145:FBJ852145 FLA852145:FLF852145 FUW852145:FVB852145 GES852145:GEX852145 GOO852145:GOT852145 GYK852145:GYP852145 HIG852145:HIL852145 HSC852145:HSH852145 IBY852145:ICD852145 ILU852145:ILZ852145 IVQ852145:IVV852145 JFM852145:JFR852145 JPI852145:JPN852145 JZE852145:JZJ852145 KJA852145:KJF852145 KSW852145:KTB852145 LCS852145:LCX852145 LMO852145:LMT852145 LWK852145:LWP852145 MGG852145:MGL852145 MQC852145:MQH852145 MZY852145:NAD852145 NJU852145:NJZ852145 NTQ852145:NTV852145 ODM852145:ODR852145 ONI852145:ONN852145 OXE852145:OXJ852145 PHA852145:PHF852145 PQW852145:PRB852145 QAS852145:QAX852145 QKO852145:QKT852145 QUK852145:QUP852145 REG852145:REL852145 ROC852145:ROH852145 RXY852145:RYD852145 SHU852145:SHZ852145 SRQ852145:SRV852145 TBM852145:TBR852145 TLI852145:TLN852145 TVE852145:TVJ852145 UFA852145:UFF852145 UOW852145:UPB852145 UYS852145:UYX852145 VIO852145:VIT852145 VSK852145:VSP852145 WCG852145:WCL852145 WMC852145:WMH852145 WVY852145:WWD852145 Q917681:V917681 JM917681:JR917681 TI917681:TN917681 ADE917681:ADJ917681 ANA917681:ANF917681 AWW917681:AXB917681 BGS917681:BGX917681 BQO917681:BQT917681 CAK917681:CAP917681 CKG917681:CKL917681 CUC917681:CUH917681 DDY917681:DED917681 DNU917681:DNZ917681 DXQ917681:DXV917681 EHM917681:EHR917681 ERI917681:ERN917681 FBE917681:FBJ917681 FLA917681:FLF917681 FUW917681:FVB917681 GES917681:GEX917681 GOO917681:GOT917681 GYK917681:GYP917681 HIG917681:HIL917681 HSC917681:HSH917681 IBY917681:ICD917681 ILU917681:ILZ917681 IVQ917681:IVV917681 JFM917681:JFR917681 JPI917681:JPN917681 JZE917681:JZJ917681 KJA917681:KJF917681 KSW917681:KTB917681 LCS917681:LCX917681 LMO917681:LMT917681 LWK917681:LWP917681 MGG917681:MGL917681 MQC917681:MQH917681 MZY917681:NAD917681 NJU917681:NJZ917681 NTQ917681:NTV917681 ODM917681:ODR917681 ONI917681:ONN917681 OXE917681:OXJ917681 PHA917681:PHF917681 PQW917681:PRB917681 QAS917681:QAX917681 QKO917681:QKT917681 QUK917681:QUP917681 REG917681:REL917681 ROC917681:ROH917681 RXY917681:RYD917681 SHU917681:SHZ917681 SRQ917681:SRV917681 TBM917681:TBR917681 TLI917681:TLN917681 TVE917681:TVJ917681 UFA917681:UFF917681 UOW917681:UPB917681 UYS917681:UYX917681 VIO917681:VIT917681 VSK917681:VSP917681 WCG917681:WCL917681 WMC917681:WMH917681 WVY917681:WWD917681 Q983217:V983217 JM983217:JR983217 TI983217:TN983217 ADE983217:ADJ983217 ANA983217:ANF983217 AWW983217:AXB983217 BGS983217:BGX983217 BQO983217:BQT983217 CAK983217:CAP983217 CKG983217:CKL983217 CUC983217:CUH983217 DDY983217:DED983217 DNU983217:DNZ983217 DXQ983217:DXV983217 EHM983217:EHR983217 ERI983217:ERN983217 FBE983217:FBJ983217 FLA983217:FLF983217 FUW983217:FVB983217 GES983217:GEX983217 GOO983217:GOT983217 GYK983217:GYP983217 HIG983217:HIL983217 HSC983217:HSH983217 IBY983217:ICD983217 ILU983217:ILZ983217 IVQ983217:IVV983217 JFM983217:JFR983217 JPI983217:JPN983217 JZE983217:JZJ983217 KJA983217:KJF983217 KSW983217:KTB983217 LCS983217:LCX983217 LMO983217:LMT983217 LWK983217:LWP983217 MGG983217:MGL983217 MQC983217:MQH983217 MZY983217:NAD983217 NJU983217:NJZ983217 NTQ983217:NTV983217 ODM983217:ODR983217 ONI983217:ONN983217 OXE983217:OXJ983217 PHA983217:PHF983217 PQW983217:PRB983217 QAS983217:QAX983217 QKO983217:QKT983217 QUK983217:QUP983217 REG983217:REL983217 ROC983217:ROH983217 RXY983217:RYD983217 SHU983217:SHZ983217 SRQ983217:SRV983217 TBM983217:TBR983217 TLI983217:TLN983217 TVE983217:TVJ983217 UFA983217:UFF983217 UOW983217:UPB983217 UYS983217:UYX983217 VIO983217:VIT983217 VSK983217:VSP983217 WCG983217:WCL983217 WMC983217:WMH983217 WVY983217:WWD983217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G66:W66 JC66:JS66 SY66:TO66 ACU66:ADK66 AMQ66:ANG66 AWM66:AXC66 BGI66:BGY66 BQE66:BQU66 CAA66:CAQ66 CJW66:CKM66 CTS66:CUI66 DDO66:DEE66 DNK66:DOA66 DXG66:DXW66 EHC66:EHS66 EQY66:ERO66 FAU66:FBK66 FKQ66:FLG66 FUM66:FVC66 GEI66:GEY66 GOE66:GOU66 GYA66:GYQ66 HHW66:HIM66 HRS66:HSI66 IBO66:ICE66 ILK66:IMA66 IVG66:IVW66 JFC66:JFS66 JOY66:JPO66 JYU66:JZK66 KIQ66:KJG66 KSM66:KTC66 LCI66:LCY66 LME66:LMU66 LWA66:LWQ66 MFW66:MGM66 MPS66:MQI66 MZO66:NAE66 NJK66:NKA66 NTG66:NTW66 ODC66:ODS66 OMY66:ONO66 OWU66:OXK66 PGQ66:PHG66 PQM66:PRC66 QAI66:QAY66 QKE66:QKU66 QUA66:QUQ66 RDW66:REM66 RNS66:ROI66 RXO66:RYE66 SHK66:SIA66 SRG66:SRW66 TBC66:TBS66 TKY66:TLO66 TUU66:TVK66 UEQ66:UFG66 UOM66:UPC66 UYI66:UYY66 VIE66:VIU66 VSA66:VSQ66 WBW66:WCM66 WLS66:WMI66 WVO66:WWE66 G65602:W65602 JC65602:JS65602 SY65602:TO65602 ACU65602:ADK65602 AMQ65602:ANG65602 AWM65602:AXC65602 BGI65602:BGY65602 BQE65602:BQU65602 CAA65602:CAQ65602 CJW65602:CKM65602 CTS65602:CUI65602 DDO65602:DEE65602 DNK65602:DOA65602 DXG65602:DXW65602 EHC65602:EHS65602 EQY65602:ERO65602 FAU65602:FBK65602 FKQ65602:FLG65602 FUM65602:FVC65602 GEI65602:GEY65602 GOE65602:GOU65602 GYA65602:GYQ65602 HHW65602:HIM65602 HRS65602:HSI65602 IBO65602:ICE65602 ILK65602:IMA65602 IVG65602:IVW65602 JFC65602:JFS65602 JOY65602:JPO65602 JYU65602:JZK65602 KIQ65602:KJG65602 KSM65602:KTC65602 LCI65602:LCY65602 LME65602:LMU65602 LWA65602:LWQ65602 MFW65602:MGM65602 MPS65602:MQI65602 MZO65602:NAE65602 NJK65602:NKA65602 NTG65602:NTW65602 ODC65602:ODS65602 OMY65602:ONO65602 OWU65602:OXK65602 PGQ65602:PHG65602 PQM65602:PRC65602 QAI65602:QAY65602 QKE65602:QKU65602 QUA65602:QUQ65602 RDW65602:REM65602 RNS65602:ROI65602 RXO65602:RYE65602 SHK65602:SIA65602 SRG65602:SRW65602 TBC65602:TBS65602 TKY65602:TLO65602 TUU65602:TVK65602 UEQ65602:UFG65602 UOM65602:UPC65602 UYI65602:UYY65602 VIE65602:VIU65602 VSA65602:VSQ65602 WBW65602:WCM65602 WLS65602:WMI65602 WVO65602:WWE65602 G131138:W131138 JC131138:JS131138 SY131138:TO131138 ACU131138:ADK131138 AMQ131138:ANG131138 AWM131138:AXC131138 BGI131138:BGY131138 BQE131138:BQU131138 CAA131138:CAQ131138 CJW131138:CKM131138 CTS131138:CUI131138 DDO131138:DEE131138 DNK131138:DOA131138 DXG131138:DXW131138 EHC131138:EHS131138 EQY131138:ERO131138 FAU131138:FBK131138 FKQ131138:FLG131138 FUM131138:FVC131138 GEI131138:GEY131138 GOE131138:GOU131138 GYA131138:GYQ131138 HHW131138:HIM131138 HRS131138:HSI131138 IBO131138:ICE131138 ILK131138:IMA131138 IVG131138:IVW131138 JFC131138:JFS131138 JOY131138:JPO131138 JYU131138:JZK131138 KIQ131138:KJG131138 KSM131138:KTC131138 LCI131138:LCY131138 LME131138:LMU131138 LWA131138:LWQ131138 MFW131138:MGM131138 MPS131138:MQI131138 MZO131138:NAE131138 NJK131138:NKA131138 NTG131138:NTW131138 ODC131138:ODS131138 OMY131138:ONO131138 OWU131138:OXK131138 PGQ131138:PHG131138 PQM131138:PRC131138 QAI131138:QAY131138 QKE131138:QKU131138 QUA131138:QUQ131138 RDW131138:REM131138 RNS131138:ROI131138 RXO131138:RYE131138 SHK131138:SIA131138 SRG131138:SRW131138 TBC131138:TBS131138 TKY131138:TLO131138 TUU131138:TVK131138 UEQ131138:UFG131138 UOM131138:UPC131138 UYI131138:UYY131138 VIE131138:VIU131138 VSA131138:VSQ131138 WBW131138:WCM131138 WLS131138:WMI131138 WVO131138:WWE131138 G196674:W196674 JC196674:JS196674 SY196674:TO196674 ACU196674:ADK196674 AMQ196674:ANG196674 AWM196674:AXC196674 BGI196674:BGY196674 BQE196674:BQU196674 CAA196674:CAQ196674 CJW196674:CKM196674 CTS196674:CUI196674 DDO196674:DEE196674 DNK196674:DOA196674 DXG196674:DXW196674 EHC196674:EHS196674 EQY196674:ERO196674 FAU196674:FBK196674 FKQ196674:FLG196674 FUM196674:FVC196674 GEI196674:GEY196674 GOE196674:GOU196674 GYA196674:GYQ196674 HHW196674:HIM196674 HRS196674:HSI196674 IBO196674:ICE196674 ILK196674:IMA196674 IVG196674:IVW196674 JFC196674:JFS196674 JOY196674:JPO196674 JYU196674:JZK196674 KIQ196674:KJG196674 KSM196674:KTC196674 LCI196674:LCY196674 LME196674:LMU196674 LWA196674:LWQ196674 MFW196674:MGM196674 MPS196674:MQI196674 MZO196674:NAE196674 NJK196674:NKA196674 NTG196674:NTW196674 ODC196674:ODS196674 OMY196674:ONO196674 OWU196674:OXK196674 PGQ196674:PHG196674 PQM196674:PRC196674 QAI196674:QAY196674 QKE196674:QKU196674 QUA196674:QUQ196674 RDW196674:REM196674 RNS196674:ROI196674 RXO196674:RYE196674 SHK196674:SIA196674 SRG196674:SRW196674 TBC196674:TBS196674 TKY196674:TLO196674 TUU196674:TVK196674 UEQ196674:UFG196674 UOM196674:UPC196674 UYI196674:UYY196674 VIE196674:VIU196674 VSA196674:VSQ196674 WBW196674:WCM196674 WLS196674:WMI196674 WVO196674:WWE196674 G262210:W262210 JC262210:JS262210 SY262210:TO262210 ACU262210:ADK262210 AMQ262210:ANG262210 AWM262210:AXC262210 BGI262210:BGY262210 BQE262210:BQU262210 CAA262210:CAQ262210 CJW262210:CKM262210 CTS262210:CUI262210 DDO262210:DEE262210 DNK262210:DOA262210 DXG262210:DXW262210 EHC262210:EHS262210 EQY262210:ERO262210 FAU262210:FBK262210 FKQ262210:FLG262210 FUM262210:FVC262210 GEI262210:GEY262210 GOE262210:GOU262210 GYA262210:GYQ262210 HHW262210:HIM262210 HRS262210:HSI262210 IBO262210:ICE262210 ILK262210:IMA262210 IVG262210:IVW262210 JFC262210:JFS262210 JOY262210:JPO262210 JYU262210:JZK262210 KIQ262210:KJG262210 KSM262210:KTC262210 LCI262210:LCY262210 LME262210:LMU262210 LWA262210:LWQ262210 MFW262210:MGM262210 MPS262210:MQI262210 MZO262210:NAE262210 NJK262210:NKA262210 NTG262210:NTW262210 ODC262210:ODS262210 OMY262210:ONO262210 OWU262210:OXK262210 PGQ262210:PHG262210 PQM262210:PRC262210 QAI262210:QAY262210 QKE262210:QKU262210 QUA262210:QUQ262210 RDW262210:REM262210 RNS262210:ROI262210 RXO262210:RYE262210 SHK262210:SIA262210 SRG262210:SRW262210 TBC262210:TBS262210 TKY262210:TLO262210 TUU262210:TVK262210 UEQ262210:UFG262210 UOM262210:UPC262210 UYI262210:UYY262210 VIE262210:VIU262210 VSA262210:VSQ262210 WBW262210:WCM262210 WLS262210:WMI262210 WVO262210:WWE262210 G327746:W327746 JC327746:JS327746 SY327746:TO327746 ACU327746:ADK327746 AMQ327746:ANG327746 AWM327746:AXC327746 BGI327746:BGY327746 BQE327746:BQU327746 CAA327746:CAQ327746 CJW327746:CKM327746 CTS327746:CUI327746 DDO327746:DEE327746 DNK327746:DOA327746 DXG327746:DXW327746 EHC327746:EHS327746 EQY327746:ERO327746 FAU327746:FBK327746 FKQ327746:FLG327746 FUM327746:FVC327746 GEI327746:GEY327746 GOE327746:GOU327746 GYA327746:GYQ327746 HHW327746:HIM327746 HRS327746:HSI327746 IBO327746:ICE327746 ILK327746:IMA327746 IVG327746:IVW327746 JFC327746:JFS327746 JOY327746:JPO327746 JYU327746:JZK327746 KIQ327746:KJG327746 KSM327746:KTC327746 LCI327746:LCY327746 LME327746:LMU327746 LWA327746:LWQ327746 MFW327746:MGM327746 MPS327746:MQI327746 MZO327746:NAE327746 NJK327746:NKA327746 NTG327746:NTW327746 ODC327746:ODS327746 OMY327746:ONO327746 OWU327746:OXK327746 PGQ327746:PHG327746 PQM327746:PRC327746 QAI327746:QAY327746 QKE327746:QKU327746 QUA327746:QUQ327746 RDW327746:REM327746 RNS327746:ROI327746 RXO327746:RYE327746 SHK327746:SIA327746 SRG327746:SRW327746 TBC327746:TBS327746 TKY327746:TLO327746 TUU327746:TVK327746 UEQ327746:UFG327746 UOM327746:UPC327746 UYI327746:UYY327746 VIE327746:VIU327746 VSA327746:VSQ327746 WBW327746:WCM327746 WLS327746:WMI327746 WVO327746:WWE327746 G393282:W393282 JC393282:JS393282 SY393282:TO393282 ACU393282:ADK393282 AMQ393282:ANG393282 AWM393282:AXC393282 BGI393282:BGY393282 BQE393282:BQU393282 CAA393282:CAQ393282 CJW393282:CKM393282 CTS393282:CUI393282 DDO393282:DEE393282 DNK393282:DOA393282 DXG393282:DXW393282 EHC393282:EHS393282 EQY393282:ERO393282 FAU393282:FBK393282 FKQ393282:FLG393282 FUM393282:FVC393282 GEI393282:GEY393282 GOE393282:GOU393282 GYA393282:GYQ393282 HHW393282:HIM393282 HRS393282:HSI393282 IBO393282:ICE393282 ILK393282:IMA393282 IVG393282:IVW393282 JFC393282:JFS393282 JOY393282:JPO393282 JYU393282:JZK393282 KIQ393282:KJG393282 KSM393282:KTC393282 LCI393282:LCY393282 LME393282:LMU393282 LWA393282:LWQ393282 MFW393282:MGM393282 MPS393282:MQI393282 MZO393282:NAE393282 NJK393282:NKA393282 NTG393282:NTW393282 ODC393282:ODS393282 OMY393282:ONO393282 OWU393282:OXK393282 PGQ393282:PHG393282 PQM393282:PRC393282 QAI393282:QAY393282 QKE393282:QKU393282 QUA393282:QUQ393282 RDW393282:REM393282 RNS393282:ROI393282 RXO393282:RYE393282 SHK393282:SIA393282 SRG393282:SRW393282 TBC393282:TBS393282 TKY393282:TLO393282 TUU393282:TVK393282 UEQ393282:UFG393282 UOM393282:UPC393282 UYI393282:UYY393282 VIE393282:VIU393282 VSA393282:VSQ393282 WBW393282:WCM393282 WLS393282:WMI393282 WVO393282:WWE393282 G458818:W458818 JC458818:JS458818 SY458818:TO458818 ACU458818:ADK458818 AMQ458818:ANG458818 AWM458818:AXC458818 BGI458818:BGY458818 BQE458818:BQU458818 CAA458818:CAQ458818 CJW458818:CKM458818 CTS458818:CUI458818 DDO458818:DEE458818 DNK458818:DOA458818 DXG458818:DXW458818 EHC458818:EHS458818 EQY458818:ERO458818 FAU458818:FBK458818 FKQ458818:FLG458818 FUM458818:FVC458818 GEI458818:GEY458818 GOE458818:GOU458818 GYA458818:GYQ458818 HHW458818:HIM458818 HRS458818:HSI458818 IBO458818:ICE458818 ILK458818:IMA458818 IVG458818:IVW458818 JFC458818:JFS458818 JOY458818:JPO458818 JYU458818:JZK458818 KIQ458818:KJG458818 KSM458818:KTC458818 LCI458818:LCY458818 LME458818:LMU458818 LWA458818:LWQ458818 MFW458818:MGM458818 MPS458818:MQI458818 MZO458818:NAE458818 NJK458818:NKA458818 NTG458818:NTW458818 ODC458818:ODS458818 OMY458818:ONO458818 OWU458818:OXK458818 PGQ458818:PHG458818 PQM458818:PRC458818 QAI458818:QAY458818 QKE458818:QKU458818 QUA458818:QUQ458818 RDW458818:REM458818 RNS458818:ROI458818 RXO458818:RYE458818 SHK458818:SIA458818 SRG458818:SRW458818 TBC458818:TBS458818 TKY458818:TLO458818 TUU458818:TVK458818 UEQ458818:UFG458818 UOM458818:UPC458818 UYI458818:UYY458818 VIE458818:VIU458818 VSA458818:VSQ458818 WBW458818:WCM458818 WLS458818:WMI458818 WVO458818:WWE458818 G524354:W524354 JC524354:JS524354 SY524354:TO524354 ACU524354:ADK524354 AMQ524354:ANG524354 AWM524354:AXC524354 BGI524354:BGY524354 BQE524354:BQU524354 CAA524354:CAQ524354 CJW524354:CKM524354 CTS524354:CUI524354 DDO524354:DEE524354 DNK524354:DOA524354 DXG524354:DXW524354 EHC524354:EHS524354 EQY524354:ERO524354 FAU524354:FBK524354 FKQ524354:FLG524354 FUM524354:FVC524354 GEI524354:GEY524354 GOE524354:GOU524354 GYA524354:GYQ524354 HHW524354:HIM524354 HRS524354:HSI524354 IBO524354:ICE524354 ILK524354:IMA524354 IVG524354:IVW524354 JFC524354:JFS524354 JOY524354:JPO524354 JYU524354:JZK524354 KIQ524354:KJG524354 KSM524354:KTC524354 LCI524354:LCY524354 LME524354:LMU524354 LWA524354:LWQ524354 MFW524354:MGM524354 MPS524354:MQI524354 MZO524354:NAE524354 NJK524354:NKA524354 NTG524354:NTW524354 ODC524354:ODS524354 OMY524354:ONO524354 OWU524354:OXK524354 PGQ524354:PHG524354 PQM524354:PRC524354 QAI524354:QAY524354 QKE524354:QKU524354 QUA524354:QUQ524354 RDW524354:REM524354 RNS524354:ROI524354 RXO524354:RYE524354 SHK524354:SIA524354 SRG524354:SRW524354 TBC524354:TBS524354 TKY524354:TLO524354 TUU524354:TVK524354 UEQ524354:UFG524354 UOM524354:UPC524354 UYI524354:UYY524354 VIE524354:VIU524354 VSA524354:VSQ524354 WBW524354:WCM524354 WLS524354:WMI524354 WVO524354:WWE524354 G589890:W589890 JC589890:JS589890 SY589890:TO589890 ACU589890:ADK589890 AMQ589890:ANG589890 AWM589890:AXC589890 BGI589890:BGY589890 BQE589890:BQU589890 CAA589890:CAQ589890 CJW589890:CKM589890 CTS589890:CUI589890 DDO589890:DEE589890 DNK589890:DOA589890 DXG589890:DXW589890 EHC589890:EHS589890 EQY589890:ERO589890 FAU589890:FBK589890 FKQ589890:FLG589890 FUM589890:FVC589890 GEI589890:GEY589890 GOE589890:GOU589890 GYA589890:GYQ589890 HHW589890:HIM589890 HRS589890:HSI589890 IBO589890:ICE589890 ILK589890:IMA589890 IVG589890:IVW589890 JFC589890:JFS589890 JOY589890:JPO589890 JYU589890:JZK589890 KIQ589890:KJG589890 KSM589890:KTC589890 LCI589890:LCY589890 LME589890:LMU589890 LWA589890:LWQ589890 MFW589890:MGM589890 MPS589890:MQI589890 MZO589890:NAE589890 NJK589890:NKA589890 NTG589890:NTW589890 ODC589890:ODS589890 OMY589890:ONO589890 OWU589890:OXK589890 PGQ589890:PHG589890 PQM589890:PRC589890 QAI589890:QAY589890 QKE589890:QKU589890 QUA589890:QUQ589890 RDW589890:REM589890 RNS589890:ROI589890 RXO589890:RYE589890 SHK589890:SIA589890 SRG589890:SRW589890 TBC589890:TBS589890 TKY589890:TLO589890 TUU589890:TVK589890 UEQ589890:UFG589890 UOM589890:UPC589890 UYI589890:UYY589890 VIE589890:VIU589890 VSA589890:VSQ589890 WBW589890:WCM589890 WLS589890:WMI589890 WVO589890:WWE589890 G655426:W655426 JC655426:JS655426 SY655426:TO655426 ACU655426:ADK655426 AMQ655426:ANG655426 AWM655426:AXC655426 BGI655426:BGY655426 BQE655426:BQU655426 CAA655426:CAQ655426 CJW655426:CKM655426 CTS655426:CUI655426 DDO655426:DEE655426 DNK655426:DOA655426 DXG655426:DXW655426 EHC655426:EHS655426 EQY655426:ERO655426 FAU655426:FBK655426 FKQ655426:FLG655426 FUM655426:FVC655426 GEI655426:GEY655426 GOE655426:GOU655426 GYA655426:GYQ655426 HHW655426:HIM655426 HRS655426:HSI655426 IBO655426:ICE655426 ILK655426:IMA655426 IVG655426:IVW655426 JFC655426:JFS655426 JOY655426:JPO655426 JYU655426:JZK655426 KIQ655426:KJG655426 KSM655426:KTC655426 LCI655426:LCY655426 LME655426:LMU655426 LWA655426:LWQ655426 MFW655426:MGM655426 MPS655426:MQI655426 MZO655426:NAE655426 NJK655426:NKA655426 NTG655426:NTW655426 ODC655426:ODS655426 OMY655426:ONO655426 OWU655426:OXK655426 PGQ655426:PHG655426 PQM655426:PRC655426 QAI655426:QAY655426 QKE655426:QKU655426 QUA655426:QUQ655426 RDW655426:REM655426 RNS655426:ROI655426 RXO655426:RYE655426 SHK655426:SIA655426 SRG655426:SRW655426 TBC655426:TBS655426 TKY655426:TLO655426 TUU655426:TVK655426 UEQ655426:UFG655426 UOM655426:UPC655426 UYI655426:UYY655426 VIE655426:VIU655426 VSA655426:VSQ655426 WBW655426:WCM655426 WLS655426:WMI655426 WVO655426:WWE655426 G720962:W720962 JC720962:JS720962 SY720962:TO720962 ACU720962:ADK720962 AMQ720962:ANG720962 AWM720962:AXC720962 BGI720962:BGY720962 BQE720962:BQU720962 CAA720962:CAQ720962 CJW720962:CKM720962 CTS720962:CUI720962 DDO720962:DEE720962 DNK720962:DOA720962 DXG720962:DXW720962 EHC720962:EHS720962 EQY720962:ERO720962 FAU720962:FBK720962 FKQ720962:FLG720962 FUM720962:FVC720962 GEI720962:GEY720962 GOE720962:GOU720962 GYA720962:GYQ720962 HHW720962:HIM720962 HRS720962:HSI720962 IBO720962:ICE720962 ILK720962:IMA720962 IVG720962:IVW720962 JFC720962:JFS720962 JOY720962:JPO720962 JYU720962:JZK720962 KIQ720962:KJG720962 KSM720962:KTC720962 LCI720962:LCY720962 LME720962:LMU720962 LWA720962:LWQ720962 MFW720962:MGM720962 MPS720962:MQI720962 MZO720962:NAE720962 NJK720962:NKA720962 NTG720962:NTW720962 ODC720962:ODS720962 OMY720962:ONO720962 OWU720962:OXK720962 PGQ720962:PHG720962 PQM720962:PRC720962 QAI720962:QAY720962 QKE720962:QKU720962 QUA720962:QUQ720962 RDW720962:REM720962 RNS720962:ROI720962 RXO720962:RYE720962 SHK720962:SIA720962 SRG720962:SRW720962 TBC720962:TBS720962 TKY720962:TLO720962 TUU720962:TVK720962 UEQ720962:UFG720962 UOM720962:UPC720962 UYI720962:UYY720962 VIE720962:VIU720962 VSA720962:VSQ720962 WBW720962:WCM720962 WLS720962:WMI720962 WVO720962:WWE720962 G786498:W786498 JC786498:JS786498 SY786498:TO786498 ACU786498:ADK786498 AMQ786498:ANG786498 AWM786498:AXC786498 BGI786498:BGY786498 BQE786498:BQU786498 CAA786498:CAQ786498 CJW786498:CKM786498 CTS786498:CUI786498 DDO786498:DEE786498 DNK786498:DOA786498 DXG786498:DXW786498 EHC786498:EHS786498 EQY786498:ERO786498 FAU786498:FBK786498 FKQ786498:FLG786498 FUM786498:FVC786498 GEI786498:GEY786498 GOE786498:GOU786498 GYA786498:GYQ786498 HHW786498:HIM786498 HRS786498:HSI786498 IBO786498:ICE786498 ILK786498:IMA786498 IVG786498:IVW786498 JFC786498:JFS786498 JOY786498:JPO786498 JYU786498:JZK786498 KIQ786498:KJG786498 KSM786498:KTC786498 LCI786498:LCY786498 LME786498:LMU786498 LWA786498:LWQ786498 MFW786498:MGM786498 MPS786498:MQI786498 MZO786498:NAE786498 NJK786498:NKA786498 NTG786498:NTW786498 ODC786498:ODS786498 OMY786498:ONO786498 OWU786498:OXK786498 PGQ786498:PHG786498 PQM786498:PRC786498 QAI786498:QAY786498 QKE786498:QKU786498 QUA786498:QUQ786498 RDW786498:REM786498 RNS786498:ROI786498 RXO786498:RYE786498 SHK786498:SIA786498 SRG786498:SRW786498 TBC786498:TBS786498 TKY786498:TLO786498 TUU786498:TVK786498 UEQ786498:UFG786498 UOM786498:UPC786498 UYI786498:UYY786498 VIE786498:VIU786498 VSA786498:VSQ786498 WBW786498:WCM786498 WLS786498:WMI786498 WVO786498:WWE786498 G852034:W852034 JC852034:JS852034 SY852034:TO852034 ACU852034:ADK852034 AMQ852034:ANG852034 AWM852034:AXC852034 BGI852034:BGY852034 BQE852034:BQU852034 CAA852034:CAQ852034 CJW852034:CKM852034 CTS852034:CUI852034 DDO852034:DEE852034 DNK852034:DOA852034 DXG852034:DXW852034 EHC852034:EHS852034 EQY852034:ERO852034 FAU852034:FBK852034 FKQ852034:FLG852034 FUM852034:FVC852034 GEI852034:GEY852034 GOE852034:GOU852034 GYA852034:GYQ852034 HHW852034:HIM852034 HRS852034:HSI852034 IBO852034:ICE852034 ILK852034:IMA852034 IVG852034:IVW852034 JFC852034:JFS852034 JOY852034:JPO852034 JYU852034:JZK852034 KIQ852034:KJG852034 KSM852034:KTC852034 LCI852034:LCY852034 LME852034:LMU852034 LWA852034:LWQ852034 MFW852034:MGM852034 MPS852034:MQI852034 MZO852034:NAE852034 NJK852034:NKA852034 NTG852034:NTW852034 ODC852034:ODS852034 OMY852034:ONO852034 OWU852034:OXK852034 PGQ852034:PHG852034 PQM852034:PRC852034 QAI852034:QAY852034 QKE852034:QKU852034 QUA852034:QUQ852034 RDW852034:REM852034 RNS852034:ROI852034 RXO852034:RYE852034 SHK852034:SIA852034 SRG852034:SRW852034 TBC852034:TBS852034 TKY852034:TLO852034 TUU852034:TVK852034 UEQ852034:UFG852034 UOM852034:UPC852034 UYI852034:UYY852034 VIE852034:VIU852034 VSA852034:VSQ852034 WBW852034:WCM852034 WLS852034:WMI852034 WVO852034:WWE852034 G917570:W917570 JC917570:JS917570 SY917570:TO917570 ACU917570:ADK917570 AMQ917570:ANG917570 AWM917570:AXC917570 BGI917570:BGY917570 BQE917570:BQU917570 CAA917570:CAQ917570 CJW917570:CKM917570 CTS917570:CUI917570 DDO917570:DEE917570 DNK917570:DOA917570 DXG917570:DXW917570 EHC917570:EHS917570 EQY917570:ERO917570 FAU917570:FBK917570 FKQ917570:FLG917570 FUM917570:FVC917570 GEI917570:GEY917570 GOE917570:GOU917570 GYA917570:GYQ917570 HHW917570:HIM917570 HRS917570:HSI917570 IBO917570:ICE917570 ILK917570:IMA917570 IVG917570:IVW917570 JFC917570:JFS917570 JOY917570:JPO917570 JYU917570:JZK917570 KIQ917570:KJG917570 KSM917570:KTC917570 LCI917570:LCY917570 LME917570:LMU917570 LWA917570:LWQ917570 MFW917570:MGM917570 MPS917570:MQI917570 MZO917570:NAE917570 NJK917570:NKA917570 NTG917570:NTW917570 ODC917570:ODS917570 OMY917570:ONO917570 OWU917570:OXK917570 PGQ917570:PHG917570 PQM917570:PRC917570 QAI917570:QAY917570 QKE917570:QKU917570 QUA917570:QUQ917570 RDW917570:REM917570 RNS917570:ROI917570 RXO917570:RYE917570 SHK917570:SIA917570 SRG917570:SRW917570 TBC917570:TBS917570 TKY917570:TLO917570 TUU917570:TVK917570 UEQ917570:UFG917570 UOM917570:UPC917570 UYI917570:UYY917570 VIE917570:VIU917570 VSA917570:VSQ917570 WBW917570:WCM917570 WLS917570:WMI917570 WVO917570:WWE917570 G983106:W983106 JC983106:JS983106 SY983106:TO983106 ACU983106:ADK983106 AMQ983106:ANG983106 AWM983106:AXC983106 BGI983106:BGY983106 BQE983106:BQU983106 CAA983106:CAQ983106 CJW983106:CKM983106 CTS983106:CUI983106 DDO983106:DEE983106 DNK983106:DOA983106 DXG983106:DXW983106 EHC983106:EHS983106 EQY983106:ERO983106 FAU983106:FBK983106 FKQ983106:FLG983106 FUM983106:FVC983106 GEI983106:GEY983106 GOE983106:GOU983106 GYA983106:GYQ983106 HHW983106:HIM983106 HRS983106:HSI983106 IBO983106:ICE983106 ILK983106:IMA983106 IVG983106:IVW983106 JFC983106:JFS983106 JOY983106:JPO983106 JYU983106:JZK983106 KIQ983106:KJG983106 KSM983106:KTC983106 LCI983106:LCY983106 LME983106:LMU983106 LWA983106:LWQ983106 MFW983106:MGM983106 MPS983106:MQI983106 MZO983106:NAE983106 NJK983106:NKA983106 NTG983106:NTW983106 ODC983106:ODS983106 OMY983106:ONO983106 OWU983106:OXK983106 PGQ983106:PHG983106 PQM983106:PRC983106 QAI983106:QAY983106 QKE983106:QKU983106 QUA983106:QUQ983106 RDW983106:REM983106 RNS983106:ROI983106 RXO983106:RYE983106 SHK983106:SIA983106 SRG983106:SRW983106 TBC983106:TBS983106 TKY983106:TLO983106 TUU983106:TVK983106 UEQ983106:UFG983106 UOM983106:UPC983106 UYI983106:UYY983106 VIE983106:VIU983106 VSA983106:VSQ983106 WBW983106:WCM983106 WLS983106:WMI983106 WVO983106:WWE983106 Q59:V59 JM59:JR59 TI59:TN59 ADE59:ADJ59 ANA59:ANF59 AWW59:AXB59 BGS59:BGX59 BQO59:BQT59 CAK59:CAP59 CKG59:CKL59 CUC59:CUH59 DDY59:DED59 DNU59:DNZ59 DXQ59:DXV59 EHM59:EHR59 ERI59:ERN59 FBE59:FBJ59 FLA59:FLF59 FUW59:FVB59 GES59:GEX59 GOO59:GOT59 GYK59:GYP59 HIG59:HIL59 HSC59:HSH59 IBY59:ICD59 ILU59:ILZ59 IVQ59:IVV59 JFM59:JFR59 JPI59:JPN59 JZE59:JZJ59 KJA59:KJF59 KSW59:KTB59 LCS59:LCX59 LMO59:LMT59 LWK59:LWP59 MGG59:MGL59 MQC59:MQH59 MZY59:NAD59 NJU59:NJZ59 NTQ59:NTV59 ODM59:ODR59 ONI59:ONN59 OXE59:OXJ59 PHA59:PHF59 PQW59:PRB59 QAS59:QAX59 QKO59:QKT59 QUK59:QUP59 REG59:REL59 ROC59:ROH59 RXY59:RYD59 SHU59:SHZ59 SRQ59:SRV59 TBM59:TBR59 TLI59:TLN59 TVE59:TVJ59 UFA59:UFF59 UOW59:UPB59 UYS59:UYX59 VIO59:VIT59 VSK59:VSP59 WCG59:WCL59 WMC59:WMH59 WVY59:WWD59 Q65595:V65595 JM65595:JR65595 TI65595:TN65595 ADE65595:ADJ65595 ANA65595:ANF65595 AWW65595:AXB65595 BGS65595:BGX65595 BQO65595:BQT65595 CAK65595:CAP65595 CKG65595:CKL65595 CUC65595:CUH65595 DDY65595:DED65595 DNU65595:DNZ65595 DXQ65595:DXV65595 EHM65595:EHR65595 ERI65595:ERN65595 FBE65595:FBJ65595 FLA65595:FLF65595 FUW65595:FVB65595 GES65595:GEX65595 GOO65595:GOT65595 GYK65595:GYP65595 HIG65595:HIL65595 HSC65595:HSH65595 IBY65595:ICD65595 ILU65595:ILZ65595 IVQ65595:IVV65595 JFM65595:JFR65595 JPI65595:JPN65595 JZE65595:JZJ65595 KJA65595:KJF65595 KSW65595:KTB65595 LCS65595:LCX65595 LMO65595:LMT65595 LWK65595:LWP65595 MGG65595:MGL65595 MQC65595:MQH65595 MZY65595:NAD65595 NJU65595:NJZ65595 NTQ65595:NTV65595 ODM65595:ODR65595 ONI65595:ONN65595 OXE65595:OXJ65595 PHA65595:PHF65595 PQW65595:PRB65595 QAS65595:QAX65595 QKO65595:QKT65595 QUK65595:QUP65595 REG65595:REL65595 ROC65595:ROH65595 RXY65595:RYD65595 SHU65595:SHZ65595 SRQ65595:SRV65595 TBM65595:TBR65595 TLI65595:TLN65595 TVE65595:TVJ65595 UFA65595:UFF65595 UOW65595:UPB65595 UYS65595:UYX65595 VIO65595:VIT65595 VSK65595:VSP65595 WCG65595:WCL65595 WMC65595:WMH65595 WVY65595:WWD65595 Q131131:V131131 JM131131:JR131131 TI131131:TN131131 ADE131131:ADJ131131 ANA131131:ANF131131 AWW131131:AXB131131 BGS131131:BGX131131 BQO131131:BQT131131 CAK131131:CAP131131 CKG131131:CKL131131 CUC131131:CUH131131 DDY131131:DED131131 DNU131131:DNZ131131 DXQ131131:DXV131131 EHM131131:EHR131131 ERI131131:ERN131131 FBE131131:FBJ131131 FLA131131:FLF131131 FUW131131:FVB131131 GES131131:GEX131131 GOO131131:GOT131131 GYK131131:GYP131131 HIG131131:HIL131131 HSC131131:HSH131131 IBY131131:ICD131131 ILU131131:ILZ131131 IVQ131131:IVV131131 JFM131131:JFR131131 JPI131131:JPN131131 JZE131131:JZJ131131 KJA131131:KJF131131 KSW131131:KTB131131 LCS131131:LCX131131 LMO131131:LMT131131 LWK131131:LWP131131 MGG131131:MGL131131 MQC131131:MQH131131 MZY131131:NAD131131 NJU131131:NJZ131131 NTQ131131:NTV131131 ODM131131:ODR131131 ONI131131:ONN131131 OXE131131:OXJ131131 PHA131131:PHF131131 PQW131131:PRB131131 QAS131131:QAX131131 QKO131131:QKT131131 QUK131131:QUP131131 REG131131:REL131131 ROC131131:ROH131131 RXY131131:RYD131131 SHU131131:SHZ131131 SRQ131131:SRV131131 TBM131131:TBR131131 TLI131131:TLN131131 TVE131131:TVJ131131 UFA131131:UFF131131 UOW131131:UPB131131 UYS131131:UYX131131 VIO131131:VIT131131 VSK131131:VSP131131 WCG131131:WCL131131 WMC131131:WMH131131 WVY131131:WWD131131 Q196667:V196667 JM196667:JR196667 TI196667:TN196667 ADE196667:ADJ196667 ANA196667:ANF196667 AWW196667:AXB196667 BGS196667:BGX196667 BQO196667:BQT196667 CAK196667:CAP196667 CKG196667:CKL196667 CUC196667:CUH196667 DDY196667:DED196667 DNU196667:DNZ196667 DXQ196667:DXV196667 EHM196667:EHR196667 ERI196667:ERN196667 FBE196667:FBJ196667 FLA196667:FLF196667 FUW196667:FVB196667 GES196667:GEX196667 GOO196667:GOT196667 GYK196667:GYP196667 HIG196667:HIL196667 HSC196667:HSH196667 IBY196667:ICD196667 ILU196667:ILZ196667 IVQ196667:IVV196667 JFM196667:JFR196667 JPI196667:JPN196667 JZE196667:JZJ196667 KJA196667:KJF196667 KSW196667:KTB196667 LCS196667:LCX196667 LMO196667:LMT196667 LWK196667:LWP196667 MGG196667:MGL196667 MQC196667:MQH196667 MZY196667:NAD196667 NJU196667:NJZ196667 NTQ196667:NTV196667 ODM196667:ODR196667 ONI196667:ONN196667 OXE196667:OXJ196667 PHA196667:PHF196667 PQW196667:PRB196667 QAS196667:QAX196667 QKO196667:QKT196667 QUK196667:QUP196667 REG196667:REL196667 ROC196667:ROH196667 RXY196667:RYD196667 SHU196667:SHZ196667 SRQ196667:SRV196667 TBM196667:TBR196667 TLI196667:TLN196667 TVE196667:TVJ196667 UFA196667:UFF196667 UOW196667:UPB196667 UYS196667:UYX196667 VIO196667:VIT196667 VSK196667:VSP196667 WCG196667:WCL196667 WMC196667:WMH196667 WVY196667:WWD196667 Q262203:V262203 JM262203:JR262203 TI262203:TN262203 ADE262203:ADJ262203 ANA262203:ANF262203 AWW262203:AXB262203 BGS262203:BGX262203 BQO262203:BQT262203 CAK262203:CAP262203 CKG262203:CKL262203 CUC262203:CUH262203 DDY262203:DED262203 DNU262203:DNZ262203 DXQ262203:DXV262203 EHM262203:EHR262203 ERI262203:ERN262203 FBE262203:FBJ262203 FLA262203:FLF262203 FUW262203:FVB262203 GES262203:GEX262203 GOO262203:GOT262203 GYK262203:GYP262203 HIG262203:HIL262203 HSC262203:HSH262203 IBY262203:ICD262203 ILU262203:ILZ262203 IVQ262203:IVV262203 JFM262203:JFR262203 JPI262203:JPN262203 JZE262203:JZJ262203 KJA262203:KJF262203 KSW262203:KTB262203 LCS262203:LCX262203 LMO262203:LMT262203 LWK262203:LWP262203 MGG262203:MGL262203 MQC262203:MQH262203 MZY262203:NAD262203 NJU262203:NJZ262203 NTQ262203:NTV262203 ODM262203:ODR262203 ONI262203:ONN262203 OXE262203:OXJ262203 PHA262203:PHF262203 PQW262203:PRB262203 QAS262203:QAX262203 QKO262203:QKT262203 QUK262203:QUP262203 REG262203:REL262203 ROC262203:ROH262203 RXY262203:RYD262203 SHU262203:SHZ262203 SRQ262203:SRV262203 TBM262203:TBR262203 TLI262203:TLN262203 TVE262203:TVJ262203 UFA262203:UFF262203 UOW262203:UPB262203 UYS262203:UYX262203 VIO262203:VIT262203 VSK262203:VSP262203 WCG262203:WCL262203 WMC262203:WMH262203 WVY262203:WWD262203 Q327739:V327739 JM327739:JR327739 TI327739:TN327739 ADE327739:ADJ327739 ANA327739:ANF327739 AWW327739:AXB327739 BGS327739:BGX327739 BQO327739:BQT327739 CAK327739:CAP327739 CKG327739:CKL327739 CUC327739:CUH327739 DDY327739:DED327739 DNU327739:DNZ327739 DXQ327739:DXV327739 EHM327739:EHR327739 ERI327739:ERN327739 FBE327739:FBJ327739 FLA327739:FLF327739 FUW327739:FVB327739 GES327739:GEX327739 GOO327739:GOT327739 GYK327739:GYP327739 HIG327739:HIL327739 HSC327739:HSH327739 IBY327739:ICD327739 ILU327739:ILZ327739 IVQ327739:IVV327739 JFM327739:JFR327739 JPI327739:JPN327739 JZE327739:JZJ327739 KJA327739:KJF327739 KSW327739:KTB327739 LCS327739:LCX327739 LMO327739:LMT327739 LWK327739:LWP327739 MGG327739:MGL327739 MQC327739:MQH327739 MZY327739:NAD327739 NJU327739:NJZ327739 NTQ327739:NTV327739 ODM327739:ODR327739 ONI327739:ONN327739 OXE327739:OXJ327739 PHA327739:PHF327739 PQW327739:PRB327739 QAS327739:QAX327739 QKO327739:QKT327739 QUK327739:QUP327739 REG327739:REL327739 ROC327739:ROH327739 RXY327739:RYD327739 SHU327739:SHZ327739 SRQ327739:SRV327739 TBM327739:TBR327739 TLI327739:TLN327739 TVE327739:TVJ327739 UFA327739:UFF327739 UOW327739:UPB327739 UYS327739:UYX327739 VIO327739:VIT327739 VSK327739:VSP327739 WCG327739:WCL327739 WMC327739:WMH327739 WVY327739:WWD327739 Q393275:V393275 JM393275:JR393275 TI393275:TN393275 ADE393275:ADJ393275 ANA393275:ANF393275 AWW393275:AXB393275 BGS393275:BGX393275 BQO393275:BQT393275 CAK393275:CAP393275 CKG393275:CKL393275 CUC393275:CUH393275 DDY393275:DED393275 DNU393275:DNZ393275 DXQ393275:DXV393275 EHM393275:EHR393275 ERI393275:ERN393275 FBE393275:FBJ393275 FLA393275:FLF393275 FUW393275:FVB393275 GES393275:GEX393275 GOO393275:GOT393275 GYK393275:GYP393275 HIG393275:HIL393275 HSC393275:HSH393275 IBY393275:ICD393275 ILU393275:ILZ393275 IVQ393275:IVV393275 JFM393275:JFR393275 JPI393275:JPN393275 JZE393275:JZJ393275 KJA393275:KJF393275 KSW393275:KTB393275 LCS393275:LCX393275 LMO393275:LMT393275 LWK393275:LWP393275 MGG393275:MGL393275 MQC393275:MQH393275 MZY393275:NAD393275 NJU393275:NJZ393275 NTQ393275:NTV393275 ODM393275:ODR393275 ONI393275:ONN393275 OXE393275:OXJ393275 PHA393275:PHF393275 PQW393275:PRB393275 QAS393275:QAX393275 QKO393275:QKT393275 QUK393275:QUP393275 REG393275:REL393275 ROC393275:ROH393275 RXY393275:RYD393275 SHU393275:SHZ393275 SRQ393275:SRV393275 TBM393275:TBR393275 TLI393275:TLN393275 TVE393275:TVJ393275 UFA393275:UFF393275 UOW393275:UPB393275 UYS393275:UYX393275 VIO393275:VIT393275 VSK393275:VSP393275 WCG393275:WCL393275 WMC393275:WMH393275 WVY393275:WWD393275 Q458811:V458811 JM458811:JR458811 TI458811:TN458811 ADE458811:ADJ458811 ANA458811:ANF458811 AWW458811:AXB458811 BGS458811:BGX458811 BQO458811:BQT458811 CAK458811:CAP458811 CKG458811:CKL458811 CUC458811:CUH458811 DDY458811:DED458811 DNU458811:DNZ458811 DXQ458811:DXV458811 EHM458811:EHR458811 ERI458811:ERN458811 FBE458811:FBJ458811 FLA458811:FLF458811 FUW458811:FVB458811 GES458811:GEX458811 GOO458811:GOT458811 GYK458811:GYP458811 HIG458811:HIL458811 HSC458811:HSH458811 IBY458811:ICD458811 ILU458811:ILZ458811 IVQ458811:IVV458811 JFM458811:JFR458811 JPI458811:JPN458811 JZE458811:JZJ458811 KJA458811:KJF458811 KSW458811:KTB458811 LCS458811:LCX458811 LMO458811:LMT458811 LWK458811:LWP458811 MGG458811:MGL458811 MQC458811:MQH458811 MZY458811:NAD458811 NJU458811:NJZ458811 NTQ458811:NTV458811 ODM458811:ODR458811 ONI458811:ONN458811 OXE458811:OXJ458811 PHA458811:PHF458811 PQW458811:PRB458811 QAS458811:QAX458811 QKO458811:QKT458811 QUK458811:QUP458811 REG458811:REL458811 ROC458811:ROH458811 RXY458811:RYD458811 SHU458811:SHZ458811 SRQ458811:SRV458811 TBM458811:TBR458811 TLI458811:TLN458811 TVE458811:TVJ458811 UFA458811:UFF458811 UOW458811:UPB458811 UYS458811:UYX458811 VIO458811:VIT458811 VSK458811:VSP458811 WCG458811:WCL458811 WMC458811:WMH458811 WVY458811:WWD458811 Q524347:V524347 JM524347:JR524347 TI524347:TN524347 ADE524347:ADJ524347 ANA524347:ANF524347 AWW524347:AXB524347 BGS524347:BGX524347 BQO524347:BQT524347 CAK524347:CAP524347 CKG524347:CKL524347 CUC524347:CUH524347 DDY524347:DED524347 DNU524347:DNZ524347 DXQ524347:DXV524347 EHM524347:EHR524347 ERI524347:ERN524347 FBE524347:FBJ524347 FLA524347:FLF524347 FUW524347:FVB524347 GES524347:GEX524347 GOO524347:GOT524347 GYK524347:GYP524347 HIG524347:HIL524347 HSC524347:HSH524347 IBY524347:ICD524347 ILU524347:ILZ524347 IVQ524347:IVV524347 JFM524347:JFR524347 JPI524347:JPN524347 JZE524347:JZJ524347 KJA524347:KJF524347 KSW524347:KTB524347 LCS524347:LCX524347 LMO524347:LMT524347 LWK524347:LWP524347 MGG524347:MGL524347 MQC524347:MQH524347 MZY524347:NAD524347 NJU524347:NJZ524347 NTQ524347:NTV524347 ODM524347:ODR524347 ONI524347:ONN524347 OXE524347:OXJ524347 PHA524347:PHF524347 PQW524347:PRB524347 QAS524347:QAX524347 QKO524347:QKT524347 QUK524347:QUP524347 REG524347:REL524347 ROC524347:ROH524347 RXY524347:RYD524347 SHU524347:SHZ524347 SRQ524347:SRV524347 TBM524347:TBR524347 TLI524347:TLN524347 TVE524347:TVJ524347 UFA524347:UFF524347 UOW524347:UPB524347 UYS524347:UYX524347 VIO524347:VIT524347 VSK524347:VSP524347 WCG524347:WCL524347 WMC524347:WMH524347 WVY524347:WWD524347 Q589883:V589883 JM589883:JR589883 TI589883:TN589883 ADE589883:ADJ589883 ANA589883:ANF589883 AWW589883:AXB589883 BGS589883:BGX589883 BQO589883:BQT589883 CAK589883:CAP589883 CKG589883:CKL589883 CUC589883:CUH589883 DDY589883:DED589883 DNU589883:DNZ589883 DXQ589883:DXV589883 EHM589883:EHR589883 ERI589883:ERN589883 FBE589883:FBJ589883 FLA589883:FLF589883 FUW589883:FVB589883 GES589883:GEX589883 GOO589883:GOT589883 GYK589883:GYP589883 HIG589883:HIL589883 HSC589883:HSH589883 IBY589883:ICD589883 ILU589883:ILZ589883 IVQ589883:IVV589883 JFM589883:JFR589883 JPI589883:JPN589883 JZE589883:JZJ589883 KJA589883:KJF589883 KSW589883:KTB589883 LCS589883:LCX589883 LMO589883:LMT589883 LWK589883:LWP589883 MGG589883:MGL589883 MQC589883:MQH589883 MZY589883:NAD589883 NJU589883:NJZ589883 NTQ589883:NTV589883 ODM589883:ODR589883 ONI589883:ONN589883 OXE589883:OXJ589883 PHA589883:PHF589883 PQW589883:PRB589883 QAS589883:QAX589883 QKO589883:QKT589883 QUK589883:QUP589883 REG589883:REL589883 ROC589883:ROH589883 RXY589883:RYD589883 SHU589883:SHZ589883 SRQ589883:SRV589883 TBM589883:TBR589883 TLI589883:TLN589883 TVE589883:TVJ589883 UFA589883:UFF589883 UOW589883:UPB589883 UYS589883:UYX589883 VIO589883:VIT589883 VSK589883:VSP589883 WCG589883:WCL589883 WMC589883:WMH589883 WVY589883:WWD589883 Q655419:V655419 JM655419:JR655419 TI655419:TN655419 ADE655419:ADJ655419 ANA655419:ANF655419 AWW655419:AXB655419 BGS655419:BGX655419 BQO655419:BQT655419 CAK655419:CAP655419 CKG655419:CKL655419 CUC655419:CUH655419 DDY655419:DED655419 DNU655419:DNZ655419 DXQ655419:DXV655419 EHM655419:EHR655419 ERI655419:ERN655419 FBE655419:FBJ655419 FLA655419:FLF655419 FUW655419:FVB655419 GES655419:GEX655419 GOO655419:GOT655419 GYK655419:GYP655419 HIG655419:HIL655419 HSC655419:HSH655419 IBY655419:ICD655419 ILU655419:ILZ655419 IVQ655419:IVV655419 JFM655419:JFR655419 JPI655419:JPN655419 JZE655419:JZJ655419 KJA655419:KJF655419 KSW655419:KTB655419 LCS655419:LCX655419 LMO655419:LMT655419 LWK655419:LWP655419 MGG655419:MGL655419 MQC655419:MQH655419 MZY655419:NAD655419 NJU655419:NJZ655419 NTQ655419:NTV655419 ODM655419:ODR655419 ONI655419:ONN655419 OXE655419:OXJ655419 PHA655419:PHF655419 PQW655419:PRB655419 QAS655419:QAX655419 QKO655419:QKT655419 QUK655419:QUP655419 REG655419:REL655419 ROC655419:ROH655419 RXY655419:RYD655419 SHU655419:SHZ655419 SRQ655419:SRV655419 TBM655419:TBR655419 TLI655419:TLN655419 TVE655419:TVJ655419 UFA655419:UFF655419 UOW655419:UPB655419 UYS655419:UYX655419 VIO655419:VIT655419 VSK655419:VSP655419 WCG655419:WCL655419 WMC655419:WMH655419 WVY655419:WWD655419 Q720955:V720955 JM720955:JR720955 TI720955:TN720955 ADE720955:ADJ720955 ANA720955:ANF720955 AWW720955:AXB720955 BGS720955:BGX720955 BQO720955:BQT720955 CAK720955:CAP720955 CKG720955:CKL720955 CUC720955:CUH720955 DDY720955:DED720955 DNU720955:DNZ720955 DXQ720955:DXV720955 EHM720955:EHR720955 ERI720955:ERN720955 FBE720955:FBJ720955 FLA720955:FLF720955 FUW720955:FVB720955 GES720955:GEX720955 GOO720955:GOT720955 GYK720955:GYP720955 HIG720955:HIL720955 HSC720955:HSH720955 IBY720955:ICD720955 ILU720955:ILZ720955 IVQ720955:IVV720955 JFM720955:JFR720955 JPI720955:JPN720955 JZE720955:JZJ720955 KJA720955:KJF720955 KSW720955:KTB720955 LCS720955:LCX720955 LMO720955:LMT720955 LWK720955:LWP720955 MGG720955:MGL720955 MQC720955:MQH720955 MZY720955:NAD720955 NJU720955:NJZ720955 NTQ720955:NTV720955 ODM720955:ODR720955 ONI720955:ONN720955 OXE720955:OXJ720955 PHA720955:PHF720955 PQW720955:PRB720955 QAS720955:QAX720955 QKO720955:QKT720955 QUK720955:QUP720955 REG720955:REL720955 ROC720955:ROH720955 RXY720955:RYD720955 SHU720955:SHZ720955 SRQ720955:SRV720955 TBM720955:TBR720955 TLI720955:TLN720955 TVE720955:TVJ720955 UFA720955:UFF720955 UOW720955:UPB720955 UYS720955:UYX720955 VIO720955:VIT720955 VSK720955:VSP720955 WCG720955:WCL720955 WMC720955:WMH720955 WVY720955:WWD720955 Q786491:V786491 JM786491:JR786491 TI786491:TN786491 ADE786491:ADJ786491 ANA786491:ANF786491 AWW786491:AXB786491 BGS786491:BGX786491 BQO786491:BQT786491 CAK786491:CAP786491 CKG786491:CKL786491 CUC786491:CUH786491 DDY786491:DED786491 DNU786491:DNZ786491 DXQ786491:DXV786491 EHM786491:EHR786491 ERI786491:ERN786491 FBE786491:FBJ786491 FLA786491:FLF786491 FUW786491:FVB786491 GES786491:GEX786491 GOO786491:GOT786491 GYK786491:GYP786491 HIG786491:HIL786491 HSC786491:HSH786491 IBY786491:ICD786491 ILU786491:ILZ786491 IVQ786491:IVV786491 JFM786491:JFR786491 JPI786491:JPN786491 JZE786491:JZJ786491 KJA786491:KJF786491 KSW786491:KTB786491 LCS786491:LCX786491 LMO786491:LMT786491 LWK786491:LWP786491 MGG786491:MGL786491 MQC786491:MQH786491 MZY786491:NAD786491 NJU786491:NJZ786491 NTQ786491:NTV786491 ODM786491:ODR786491 ONI786491:ONN786491 OXE786491:OXJ786491 PHA786491:PHF786491 PQW786491:PRB786491 QAS786491:QAX786491 QKO786491:QKT786491 QUK786491:QUP786491 REG786491:REL786491 ROC786491:ROH786491 RXY786491:RYD786491 SHU786491:SHZ786491 SRQ786491:SRV786491 TBM786491:TBR786491 TLI786491:TLN786491 TVE786491:TVJ786491 UFA786491:UFF786491 UOW786491:UPB786491 UYS786491:UYX786491 VIO786491:VIT786491 VSK786491:VSP786491 WCG786491:WCL786491 WMC786491:WMH786491 WVY786491:WWD786491 Q852027:V852027 JM852027:JR852027 TI852027:TN852027 ADE852027:ADJ852027 ANA852027:ANF852027 AWW852027:AXB852027 BGS852027:BGX852027 BQO852027:BQT852027 CAK852027:CAP852027 CKG852027:CKL852027 CUC852027:CUH852027 DDY852027:DED852027 DNU852027:DNZ852027 DXQ852027:DXV852027 EHM852027:EHR852027 ERI852027:ERN852027 FBE852027:FBJ852027 FLA852027:FLF852027 FUW852027:FVB852027 GES852027:GEX852027 GOO852027:GOT852027 GYK852027:GYP852027 HIG852027:HIL852027 HSC852027:HSH852027 IBY852027:ICD852027 ILU852027:ILZ852027 IVQ852027:IVV852027 JFM852027:JFR852027 JPI852027:JPN852027 JZE852027:JZJ852027 KJA852027:KJF852027 KSW852027:KTB852027 LCS852027:LCX852027 LMO852027:LMT852027 LWK852027:LWP852027 MGG852027:MGL852027 MQC852027:MQH852027 MZY852027:NAD852027 NJU852027:NJZ852027 NTQ852027:NTV852027 ODM852027:ODR852027 ONI852027:ONN852027 OXE852027:OXJ852027 PHA852027:PHF852027 PQW852027:PRB852027 QAS852027:QAX852027 QKO852027:QKT852027 QUK852027:QUP852027 REG852027:REL852027 ROC852027:ROH852027 RXY852027:RYD852027 SHU852027:SHZ852027 SRQ852027:SRV852027 TBM852027:TBR852027 TLI852027:TLN852027 TVE852027:TVJ852027 UFA852027:UFF852027 UOW852027:UPB852027 UYS852027:UYX852027 VIO852027:VIT852027 VSK852027:VSP852027 WCG852027:WCL852027 WMC852027:WMH852027 WVY852027:WWD852027 Q917563:V917563 JM917563:JR917563 TI917563:TN917563 ADE917563:ADJ917563 ANA917563:ANF917563 AWW917563:AXB917563 BGS917563:BGX917563 BQO917563:BQT917563 CAK917563:CAP917563 CKG917563:CKL917563 CUC917563:CUH917563 DDY917563:DED917563 DNU917563:DNZ917563 DXQ917563:DXV917563 EHM917563:EHR917563 ERI917563:ERN917563 FBE917563:FBJ917563 FLA917563:FLF917563 FUW917563:FVB917563 GES917563:GEX917563 GOO917563:GOT917563 GYK917563:GYP917563 HIG917563:HIL917563 HSC917563:HSH917563 IBY917563:ICD917563 ILU917563:ILZ917563 IVQ917563:IVV917563 JFM917563:JFR917563 JPI917563:JPN917563 JZE917563:JZJ917563 KJA917563:KJF917563 KSW917563:KTB917563 LCS917563:LCX917563 LMO917563:LMT917563 LWK917563:LWP917563 MGG917563:MGL917563 MQC917563:MQH917563 MZY917563:NAD917563 NJU917563:NJZ917563 NTQ917563:NTV917563 ODM917563:ODR917563 ONI917563:ONN917563 OXE917563:OXJ917563 PHA917563:PHF917563 PQW917563:PRB917563 QAS917563:QAX917563 QKO917563:QKT917563 QUK917563:QUP917563 REG917563:REL917563 ROC917563:ROH917563 RXY917563:RYD917563 SHU917563:SHZ917563 SRQ917563:SRV917563 TBM917563:TBR917563 TLI917563:TLN917563 TVE917563:TVJ917563 UFA917563:UFF917563 UOW917563:UPB917563 UYS917563:UYX917563 VIO917563:VIT917563 VSK917563:VSP917563 WCG917563:WCL917563 WMC917563:WMH917563 WVY917563:WWD917563 Q983099:V983099 JM983099:JR983099 TI983099:TN983099 ADE983099:ADJ983099 ANA983099:ANF983099 AWW983099:AXB983099 BGS983099:BGX983099 BQO983099:BQT983099 CAK983099:CAP983099 CKG983099:CKL983099 CUC983099:CUH983099 DDY983099:DED983099 DNU983099:DNZ983099 DXQ983099:DXV983099 EHM983099:EHR983099 ERI983099:ERN983099 FBE983099:FBJ983099 FLA983099:FLF983099 FUW983099:FVB983099 GES983099:GEX983099 GOO983099:GOT983099 GYK983099:GYP983099 HIG983099:HIL983099 HSC983099:HSH983099 IBY983099:ICD983099 ILU983099:ILZ983099 IVQ983099:IVV983099 JFM983099:JFR983099 JPI983099:JPN983099 JZE983099:JZJ983099 KJA983099:KJF983099 KSW983099:KTB983099 LCS983099:LCX983099 LMO983099:LMT983099 LWK983099:LWP983099 MGG983099:MGL983099 MQC983099:MQH983099 MZY983099:NAD983099 NJU983099:NJZ983099 NTQ983099:NTV983099 ODM983099:ODR983099 ONI983099:ONN983099 OXE983099:OXJ983099 PHA983099:PHF983099 PQW983099:PRB983099 QAS983099:QAX983099 QKO983099:QKT983099 QUK983099:QUP983099 REG983099:REL983099 ROC983099:ROH983099 RXY983099:RYD983099 SHU983099:SHZ983099 SRQ983099:SRV983099 TBM983099:TBR983099 TLI983099:TLN983099 TVE983099:TVJ983099 UFA983099:UFF983099 UOW983099:UPB983099 UYS983099:UYX983099 VIO983099:VIT983099 VSK983099:VSP983099 WCG983099:WCL983099 WMC983099:WMH983099 WVY983099:WWD983099 G77:W77 JC77:JS77 SY77:TO77 ACU77:ADK77 AMQ77:ANG77 AWM77:AXC77 BGI77:BGY77 BQE77:BQU77 CAA77:CAQ77 CJW77:CKM77 CTS77:CUI77 DDO77:DEE77 DNK77:DOA77 DXG77:DXW77 EHC77:EHS77 EQY77:ERO77 FAU77:FBK77 FKQ77:FLG77 FUM77:FVC77 GEI77:GEY77 GOE77:GOU77 GYA77:GYQ77 HHW77:HIM77 HRS77:HSI77 IBO77:ICE77 ILK77:IMA77 IVG77:IVW77 JFC77:JFS77 JOY77:JPO77 JYU77:JZK77 KIQ77:KJG77 KSM77:KTC77 LCI77:LCY77 LME77:LMU77 LWA77:LWQ77 MFW77:MGM77 MPS77:MQI77 MZO77:NAE77 NJK77:NKA77 NTG77:NTW77 ODC77:ODS77 OMY77:ONO77 OWU77:OXK77 PGQ77:PHG77 PQM77:PRC77 QAI77:QAY77 QKE77:QKU77 QUA77:QUQ77 RDW77:REM77 RNS77:ROI77 RXO77:RYE77 SHK77:SIA77 SRG77:SRW77 TBC77:TBS77 TKY77:TLO77 TUU77:TVK77 UEQ77:UFG77 UOM77:UPC77 UYI77:UYY77 VIE77:VIU77 VSA77:VSQ77 WBW77:WCM77 WLS77:WMI77 WVO77:WWE77 G65613:W65613 JC65613:JS65613 SY65613:TO65613 ACU65613:ADK65613 AMQ65613:ANG65613 AWM65613:AXC65613 BGI65613:BGY65613 BQE65613:BQU65613 CAA65613:CAQ65613 CJW65613:CKM65613 CTS65613:CUI65613 DDO65613:DEE65613 DNK65613:DOA65613 DXG65613:DXW65613 EHC65613:EHS65613 EQY65613:ERO65613 FAU65613:FBK65613 FKQ65613:FLG65613 FUM65613:FVC65613 GEI65613:GEY65613 GOE65613:GOU65613 GYA65613:GYQ65613 HHW65613:HIM65613 HRS65613:HSI65613 IBO65613:ICE65613 ILK65613:IMA65613 IVG65613:IVW65613 JFC65613:JFS65613 JOY65613:JPO65613 JYU65613:JZK65613 KIQ65613:KJG65613 KSM65613:KTC65613 LCI65613:LCY65613 LME65613:LMU65613 LWA65613:LWQ65613 MFW65613:MGM65613 MPS65613:MQI65613 MZO65613:NAE65613 NJK65613:NKA65613 NTG65613:NTW65613 ODC65613:ODS65613 OMY65613:ONO65613 OWU65613:OXK65613 PGQ65613:PHG65613 PQM65613:PRC65613 QAI65613:QAY65613 QKE65613:QKU65613 QUA65613:QUQ65613 RDW65613:REM65613 RNS65613:ROI65613 RXO65613:RYE65613 SHK65613:SIA65613 SRG65613:SRW65613 TBC65613:TBS65613 TKY65613:TLO65613 TUU65613:TVK65613 UEQ65613:UFG65613 UOM65613:UPC65613 UYI65613:UYY65613 VIE65613:VIU65613 VSA65613:VSQ65613 WBW65613:WCM65613 WLS65613:WMI65613 WVO65613:WWE65613 G131149:W131149 JC131149:JS131149 SY131149:TO131149 ACU131149:ADK131149 AMQ131149:ANG131149 AWM131149:AXC131149 BGI131149:BGY131149 BQE131149:BQU131149 CAA131149:CAQ131149 CJW131149:CKM131149 CTS131149:CUI131149 DDO131149:DEE131149 DNK131149:DOA131149 DXG131149:DXW131149 EHC131149:EHS131149 EQY131149:ERO131149 FAU131149:FBK131149 FKQ131149:FLG131149 FUM131149:FVC131149 GEI131149:GEY131149 GOE131149:GOU131149 GYA131149:GYQ131149 HHW131149:HIM131149 HRS131149:HSI131149 IBO131149:ICE131149 ILK131149:IMA131149 IVG131149:IVW131149 JFC131149:JFS131149 JOY131149:JPO131149 JYU131149:JZK131149 KIQ131149:KJG131149 KSM131149:KTC131149 LCI131149:LCY131149 LME131149:LMU131149 LWA131149:LWQ131149 MFW131149:MGM131149 MPS131149:MQI131149 MZO131149:NAE131149 NJK131149:NKA131149 NTG131149:NTW131149 ODC131149:ODS131149 OMY131149:ONO131149 OWU131149:OXK131149 PGQ131149:PHG131149 PQM131149:PRC131149 QAI131149:QAY131149 QKE131149:QKU131149 QUA131149:QUQ131149 RDW131149:REM131149 RNS131149:ROI131149 RXO131149:RYE131149 SHK131149:SIA131149 SRG131149:SRW131149 TBC131149:TBS131149 TKY131149:TLO131149 TUU131149:TVK131149 UEQ131149:UFG131149 UOM131149:UPC131149 UYI131149:UYY131149 VIE131149:VIU131149 VSA131149:VSQ131149 WBW131149:WCM131149 WLS131149:WMI131149 WVO131149:WWE131149 G196685:W196685 JC196685:JS196685 SY196685:TO196685 ACU196685:ADK196685 AMQ196685:ANG196685 AWM196685:AXC196685 BGI196685:BGY196685 BQE196685:BQU196685 CAA196685:CAQ196685 CJW196685:CKM196685 CTS196685:CUI196685 DDO196685:DEE196685 DNK196685:DOA196685 DXG196685:DXW196685 EHC196685:EHS196685 EQY196685:ERO196685 FAU196685:FBK196685 FKQ196685:FLG196685 FUM196685:FVC196685 GEI196685:GEY196685 GOE196685:GOU196685 GYA196685:GYQ196685 HHW196685:HIM196685 HRS196685:HSI196685 IBO196685:ICE196685 ILK196685:IMA196685 IVG196685:IVW196685 JFC196685:JFS196685 JOY196685:JPO196685 JYU196685:JZK196685 KIQ196685:KJG196685 KSM196685:KTC196685 LCI196685:LCY196685 LME196685:LMU196685 LWA196685:LWQ196685 MFW196685:MGM196685 MPS196685:MQI196685 MZO196685:NAE196685 NJK196685:NKA196685 NTG196685:NTW196685 ODC196685:ODS196685 OMY196685:ONO196685 OWU196685:OXK196685 PGQ196685:PHG196685 PQM196685:PRC196685 QAI196685:QAY196685 QKE196685:QKU196685 QUA196685:QUQ196685 RDW196685:REM196685 RNS196685:ROI196685 RXO196685:RYE196685 SHK196685:SIA196685 SRG196685:SRW196685 TBC196685:TBS196685 TKY196685:TLO196685 TUU196685:TVK196685 UEQ196685:UFG196685 UOM196685:UPC196685 UYI196685:UYY196685 VIE196685:VIU196685 VSA196685:VSQ196685 WBW196685:WCM196685 WLS196685:WMI196685 WVO196685:WWE196685 G262221:W262221 JC262221:JS262221 SY262221:TO262221 ACU262221:ADK262221 AMQ262221:ANG262221 AWM262221:AXC262221 BGI262221:BGY262221 BQE262221:BQU262221 CAA262221:CAQ262221 CJW262221:CKM262221 CTS262221:CUI262221 DDO262221:DEE262221 DNK262221:DOA262221 DXG262221:DXW262221 EHC262221:EHS262221 EQY262221:ERO262221 FAU262221:FBK262221 FKQ262221:FLG262221 FUM262221:FVC262221 GEI262221:GEY262221 GOE262221:GOU262221 GYA262221:GYQ262221 HHW262221:HIM262221 HRS262221:HSI262221 IBO262221:ICE262221 ILK262221:IMA262221 IVG262221:IVW262221 JFC262221:JFS262221 JOY262221:JPO262221 JYU262221:JZK262221 KIQ262221:KJG262221 KSM262221:KTC262221 LCI262221:LCY262221 LME262221:LMU262221 LWA262221:LWQ262221 MFW262221:MGM262221 MPS262221:MQI262221 MZO262221:NAE262221 NJK262221:NKA262221 NTG262221:NTW262221 ODC262221:ODS262221 OMY262221:ONO262221 OWU262221:OXK262221 PGQ262221:PHG262221 PQM262221:PRC262221 QAI262221:QAY262221 QKE262221:QKU262221 QUA262221:QUQ262221 RDW262221:REM262221 RNS262221:ROI262221 RXO262221:RYE262221 SHK262221:SIA262221 SRG262221:SRW262221 TBC262221:TBS262221 TKY262221:TLO262221 TUU262221:TVK262221 UEQ262221:UFG262221 UOM262221:UPC262221 UYI262221:UYY262221 VIE262221:VIU262221 VSA262221:VSQ262221 WBW262221:WCM262221 WLS262221:WMI262221 WVO262221:WWE262221 G327757:W327757 JC327757:JS327757 SY327757:TO327757 ACU327757:ADK327757 AMQ327757:ANG327757 AWM327757:AXC327757 BGI327757:BGY327757 BQE327757:BQU327757 CAA327757:CAQ327757 CJW327757:CKM327757 CTS327757:CUI327757 DDO327757:DEE327757 DNK327757:DOA327757 DXG327757:DXW327757 EHC327757:EHS327757 EQY327757:ERO327757 FAU327757:FBK327757 FKQ327757:FLG327757 FUM327757:FVC327757 GEI327757:GEY327757 GOE327757:GOU327757 GYA327757:GYQ327757 HHW327757:HIM327757 HRS327757:HSI327757 IBO327757:ICE327757 ILK327757:IMA327757 IVG327757:IVW327757 JFC327757:JFS327757 JOY327757:JPO327757 JYU327757:JZK327757 KIQ327757:KJG327757 KSM327757:KTC327757 LCI327757:LCY327757 LME327757:LMU327757 LWA327757:LWQ327757 MFW327757:MGM327757 MPS327757:MQI327757 MZO327757:NAE327757 NJK327757:NKA327757 NTG327757:NTW327757 ODC327757:ODS327757 OMY327757:ONO327757 OWU327757:OXK327757 PGQ327757:PHG327757 PQM327757:PRC327757 QAI327757:QAY327757 QKE327757:QKU327757 QUA327757:QUQ327757 RDW327757:REM327757 RNS327757:ROI327757 RXO327757:RYE327757 SHK327757:SIA327757 SRG327757:SRW327757 TBC327757:TBS327757 TKY327757:TLO327757 TUU327757:TVK327757 UEQ327757:UFG327757 UOM327757:UPC327757 UYI327757:UYY327757 VIE327757:VIU327757 VSA327757:VSQ327757 WBW327757:WCM327757 WLS327757:WMI327757 WVO327757:WWE327757 G393293:W393293 JC393293:JS393293 SY393293:TO393293 ACU393293:ADK393293 AMQ393293:ANG393293 AWM393293:AXC393293 BGI393293:BGY393293 BQE393293:BQU393293 CAA393293:CAQ393293 CJW393293:CKM393293 CTS393293:CUI393293 DDO393293:DEE393293 DNK393293:DOA393293 DXG393293:DXW393293 EHC393293:EHS393293 EQY393293:ERO393293 FAU393293:FBK393293 FKQ393293:FLG393293 FUM393293:FVC393293 GEI393293:GEY393293 GOE393293:GOU393293 GYA393293:GYQ393293 HHW393293:HIM393293 HRS393293:HSI393293 IBO393293:ICE393293 ILK393293:IMA393293 IVG393293:IVW393293 JFC393293:JFS393293 JOY393293:JPO393293 JYU393293:JZK393293 KIQ393293:KJG393293 KSM393293:KTC393293 LCI393293:LCY393293 LME393293:LMU393293 LWA393293:LWQ393293 MFW393293:MGM393293 MPS393293:MQI393293 MZO393293:NAE393293 NJK393293:NKA393293 NTG393293:NTW393293 ODC393293:ODS393293 OMY393293:ONO393293 OWU393293:OXK393293 PGQ393293:PHG393293 PQM393293:PRC393293 QAI393293:QAY393293 QKE393293:QKU393293 QUA393293:QUQ393293 RDW393293:REM393293 RNS393293:ROI393293 RXO393293:RYE393293 SHK393293:SIA393293 SRG393293:SRW393293 TBC393293:TBS393293 TKY393293:TLO393293 TUU393293:TVK393293 UEQ393293:UFG393293 UOM393293:UPC393293 UYI393293:UYY393293 VIE393293:VIU393293 VSA393293:VSQ393293 WBW393293:WCM393293 WLS393293:WMI393293 WVO393293:WWE393293 G458829:W458829 JC458829:JS458829 SY458829:TO458829 ACU458829:ADK458829 AMQ458829:ANG458829 AWM458829:AXC458829 BGI458829:BGY458829 BQE458829:BQU458829 CAA458829:CAQ458829 CJW458829:CKM458829 CTS458829:CUI458829 DDO458829:DEE458829 DNK458829:DOA458829 DXG458829:DXW458829 EHC458829:EHS458829 EQY458829:ERO458829 FAU458829:FBK458829 FKQ458829:FLG458829 FUM458829:FVC458829 GEI458829:GEY458829 GOE458829:GOU458829 GYA458829:GYQ458829 HHW458829:HIM458829 HRS458829:HSI458829 IBO458829:ICE458829 ILK458829:IMA458829 IVG458829:IVW458829 JFC458829:JFS458829 JOY458829:JPO458829 JYU458829:JZK458829 KIQ458829:KJG458829 KSM458829:KTC458829 LCI458829:LCY458829 LME458829:LMU458829 LWA458829:LWQ458829 MFW458829:MGM458829 MPS458829:MQI458829 MZO458829:NAE458829 NJK458829:NKA458829 NTG458829:NTW458829 ODC458829:ODS458829 OMY458829:ONO458829 OWU458829:OXK458829 PGQ458829:PHG458829 PQM458829:PRC458829 QAI458829:QAY458829 QKE458829:QKU458829 QUA458829:QUQ458829 RDW458829:REM458829 RNS458829:ROI458829 RXO458829:RYE458829 SHK458829:SIA458829 SRG458829:SRW458829 TBC458829:TBS458829 TKY458829:TLO458829 TUU458829:TVK458829 UEQ458829:UFG458829 UOM458829:UPC458829 UYI458829:UYY458829 VIE458829:VIU458829 VSA458829:VSQ458829 WBW458829:WCM458829 WLS458829:WMI458829 WVO458829:WWE458829 G524365:W524365 JC524365:JS524365 SY524365:TO524365 ACU524365:ADK524365 AMQ524365:ANG524365 AWM524365:AXC524365 BGI524365:BGY524365 BQE524365:BQU524365 CAA524365:CAQ524365 CJW524365:CKM524365 CTS524365:CUI524365 DDO524365:DEE524365 DNK524365:DOA524365 DXG524365:DXW524365 EHC524365:EHS524365 EQY524365:ERO524365 FAU524365:FBK524365 FKQ524365:FLG524365 FUM524365:FVC524365 GEI524365:GEY524365 GOE524365:GOU524365 GYA524365:GYQ524365 HHW524365:HIM524365 HRS524365:HSI524365 IBO524365:ICE524365 ILK524365:IMA524365 IVG524365:IVW524365 JFC524365:JFS524365 JOY524365:JPO524365 JYU524365:JZK524365 KIQ524365:KJG524365 KSM524365:KTC524365 LCI524365:LCY524365 LME524365:LMU524365 LWA524365:LWQ524365 MFW524365:MGM524365 MPS524365:MQI524365 MZO524365:NAE524365 NJK524365:NKA524365 NTG524365:NTW524365 ODC524365:ODS524365 OMY524365:ONO524365 OWU524365:OXK524365 PGQ524365:PHG524365 PQM524365:PRC524365 QAI524365:QAY524365 QKE524365:QKU524365 QUA524365:QUQ524365 RDW524365:REM524365 RNS524365:ROI524365 RXO524365:RYE524365 SHK524365:SIA524365 SRG524365:SRW524365 TBC524365:TBS524365 TKY524365:TLO524365 TUU524365:TVK524365 UEQ524365:UFG524365 UOM524365:UPC524365 UYI524365:UYY524365 VIE524365:VIU524365 VSA524365:VSQ524365 WBW524365:WCM524365 WLS524365:WMI524365 WVO524365:WWE524365 G589901:W589901 JC589901:JS589901 SY589901:TO589901 ACU589901:ADK589901 AMQ589901:ANG589901 AWM589901:AXC589901 BGI589901:BGY589901 BQE589901:BQU589901 CAA589901:CAQ589901 CJW589901:CKM589901 CTS589901:CUI589901 DDO589901:DEE589901 DNK589901:DOA589901 DXG589901:DXW589901 EHC589901:EHS589901 EQY589901:ERO589901 FAU589901:FBK589901 FKQ589901:FLG589901 FUM589901:FVC589901 GEI589901:GEY589901 GOE589901:GOU589901 GYA589901:GYQ589901 HHW589901:HIM589901 HRS589901:HSI589901 IBO589901:ICE589901 ILK589901:IMA589901 IVG589901:IVW589901 JFC589901:JFS589901 JOY589901:JPO589901 JYU589901:JZK589901 KIQ589901:KJG589901 KSM589901:KTC589901 LCI589901:LCY589901 LME589901:LMU589901 LWA589901:LWQ589901 MFW589901:MGM589901 MPS589901:MQI589901 MZO589901:NAE589901 NJK589901:NKA589901 NTG589901:NTW589901 ODC589901:ODS589901 OMY589901:ONO589901 OWU589901:OXK589901 PGQ589901:PHG589901 PQM589901:PRC589901 QAI589901:QAY589901 QKE589901:QKU589901 QUA589901:QUQ589901 RDW589901:REM589901 RNS589901:ROI589901 RXO589901:RYE589901 SHK589901:SIA589901 SRG589901:SRW589901 TBC589901:TBS589901 TKY589901:TLO589901 TUU589901:TVK589901 UEQ589901:UFG589901 UOM589901:UPC589901 UYI589901:UYY589901 VIE589901:VIU589901 VSA589901:VSQ589901 WBW589901:WCM589901 WLS589901:WMI589901 WVO589901:WWE589901 G655437:W655437 JC655437:JS655437 SY655437:TO655437 ACU655437:ADK655437 AMQ655437:ANG655437 AWM655437:AXC655437 BGI655437:BGY655437 BQE655437:BQU655437 CAA655437:CAQ655437 CJW655437:CKM655437 CTS655437:CUI655437 DDO655437:DEE655437 DNK655437:DOA655437 DXG655437:DXW655437 EHC655437:EHS655437 EQY655437:ERO655437 FAU655437:FBK655437 FKQ655437:FLG655437 FUM655437:FVC655437 GEI655437:GEY655437 GOE655437:GOU655437 GYA655437:GYQ655437 HHW655437:HIM655437 HRS655437:HSI655437 IBO655437:ICE655437 ILK655437:IMA655437 IVG655437:IVW655437 JFC655437:JFS655437 JOY655437:JPO655437 JYU655437:JZK655437 KIQ655437:KJG655437 KSM655437:KTC655437 LCI655437:LCY655437 LME655437:LMU655437 LWA655437:LWQ655437 MFW655437:MGM655437 MPS655437:MQI655437 MZO655437:NAE655437 NJK655437:NKA655437 NTG655437:NTW655437 ODC655437:ODS655437 OMY655437:ONO655437 OWU655437:OXK655437 PGQ655437:PHG655437 PQM655437:PRC655437 QAI655437:QAY655437 QKE655437:QKU655437 QUA655437:QUQ655437 RDW655437:REM655437 RNS655437:ROI655437 RXO655437:RYE655437 SHK655437:SIA655437 SRG655437:SRW655437 TBC655437:TBS655437 TKY655437:TLO655437 TUU655437:TVK655437 UEQ655437:UFG655437 UOM655437:UPC655437 UYI655437:UYY655437 VIE655437:VIU655437 VSA655437:VSQ655437 WBW655437:WCM655437 WLS655437:WMI655437 WVO655437:WWE655437 G720973:W720973 JC720973:JS720973 SY720973:TO720973 ACU720973:ADK720973 AMQ720973:ANG720973 AWM720973:AXC720973 BGI720973:BGY720973 BQE720973:BQU720973 CAA720973:CAQ720973 CJW720973:CKM720973 CTS720973:CUI720973 DDO720973:DEE720973 DNK720973:DOA720973 DXG720973:DXW720973 EHC720973:EHS720973 EQY720973:ERO720973 FAU720973:FBK720973 FKQ720973:FLG720973 FUM720973:FVC720973 GEI720973:GEY720973 GOE720973:GOU720973 GYA720973:GYQ720973 HHW720973:HIM720973 HRS720973:HSI720973 IBO720973:ICE720973 ILK720973:IMA720973 IVG720973:IVW720973 JFC720973:JFS720973 JOY720973:JPO720973 JYU720973:JZK720973 KIQ720973:KJG720973 KSM720973:KTC720973 LCI720973:LCY720973 LME720973:LMU720973 LWA720973:LWQ720973 MFW720973:MGM720973 MPS720973:MQI720973 MZO720973:NAE720973 NJK720973:NKA720973 NTG720973:NTW720973 ODC720973:ODS720973 OMY720973:ONO720973 OWU720973:OXK720973 PGQ720973:PHG720973 PQM720973:PRC720973 QAI720973:QAY720973 QKE720973:QKU720973 QUA720973:QUQ720973 RDW720973:REM720973 RNS720973:ROI720973 RXO720973:RYE720973 SHK720973:SIA720973 SRG720973:SRW720973 TBC720973:TBS720973 TKY720973:TLO720973 TUU720973:TVK720973 UEQ720973:UFG720973 UOM720973:UPC720973 UYI720973:UYY720973 VIE720973:VIU720973 VSA720973:VSQ720973 WBW720973:WCM720973 WLS720973:WMI720973 WVO720973:WWE720973 G786509:W786509 JC786509:JS786509 SY786509:TO786509 ACU786509:ADK786509 AMQ786509:ANG786509 AWM786509:AXC786509 BGI786509:BGY786509 BQE786509:BQU786509 CAA786509:CAQ786509 CJW786509:CKM786509 CTS786509:CUI786509 DDO786509:DEE786509 DNK786509:DOA786509 DXG786509:DXW786509 EHC786509:EHS786509 EQY786509:ERO786509 FAU786509:FBK786509 FKQ786509:FLG786509 FUM786509:FVC786509 GEI786509:GEY786509 GOE786509:GOU786509 GYA786509:GYQ786509 HHW786509:HIM786509 HRS786509:HSI786509 IBO786509:ICE786509 ILK786509:IMA786509 IVG786509:IVW786509 JFC786509:JFS786509 JOY786509:JPO786509 JYU786509:JZK786509 KIQ786509:KJG786509 KSM786509:KTC786509 LCI786509:LCY786509 LME786509:LMU786509 LWA786509:LWQ786509 MFW786509:MGM786509 MPS786509:MQI786509 MZO786509:NAE786509 NJK786509:NKA786509 NTG786509:NTW786509 ODC786509:ODS786509 OMY786509:ONO786509 OWU786509:OXK786509 PGQ786509:PHG786509 PQM786509:PRC786509 QAI786509:QAY786509 QKE786509:QKU786509 QUA786509:QUQ786509 RDW786509:REM786509 RNS786509:ROI786509 RXO786509:RYE786509 SHK786509:SIA786509 SRG786509:SRW786509 TBC786509:TBS786509 TKY786509:TLO786509 TUU786509:TVK786509 UEQ786509:UFG786509 UOM786509:UPC786509 UYI786509:UYY786509 VIE786509:VIU786509 VSA786509:VSQ786509 WBW786509:WCM786509 WLS786509:WMI786509 WVO786509:WWE786509 G852045:W852045 JC852045:JS852045 SY852045:TO852045 ACU852045:ADK852045 AMQ852045:ANG852045 AWM852045:AXC852045 BGI852045:BGY852045 BQE852045:BQU852045 CAA852045:CAQ852045 CJW852045:CKM852045 CTS852045:CUI852045 DDO852045:DEE852045 DNK852045:DOA852045 DXG852045:DXW852045 EHC852045:EHS852045 EQY852045:ERO852045 FAU852045:FBK852045 FKQ852045:FLG852045 FUM852045:FVC852045 GEI852045:GEY852045 GOE852045:GOU852045 GYA852045:GYQ852045 HHW852045:HIM852045 HRS852045:HSI852045 IBO852045:ICE852045 ILK852045:IMA852045 IVG852045:IVW852045 JFC852045:JFS852045 JOY852045:JPO852045 JYU852045:JZK852045 KIQ852045:KJG852045 KSM852045:KTC852045 LCI852045:LCY852045 LME852045:LMU852045 LWA852045:LWQ852045 MFW852045:MGM852045 MPS852045:MQI852045 MZO852045:NAE852045 NJK852045:NKA852045 NTG852045:NTW852045 ODC852045:ODS852045 OMY852045:ONO852045 OWU852045:OXK852045 PGQ852045:PHG852045 PQM852045:PRC852045 QAI852045:QAY852045 QKE852045:QKU852045 QUA852045:QUQ852045 RDW852045:REM852045 RNS852045:ROI852045 RXO852045:RYE852045 SHK852045:SIA852045 SRG852045:SRW852045 TBC852045:TBS852045 TKY852045:TLO852045 TUU852045:TVK852045 UEQ852045:UFG852045 UOM852045:UPC852045 UYI852045:UYY852045 VIE852045:VIU852045 VSA852045:VSQ852045 WBW852045:WCM852045 WLS852045:WMI852045 WVO852045:WWE852045 G917581:W917581 JC917581:JS917581 SY917581:TO917581 ACU917581:ADK917581 AMQ917581:ANG917581 AWM917581:AXC917581 BGI917581:BGY917581 BQE917581:BQU917581 CAA917581:CAQ917581 CJW917581:CKM917581 CTS917581:CUI917581 DDO917581:DEE917581 DNK917581:DOA917581 DXG917581:DXW917581 EHC917581:EHS917581 EQY917581:ERO917581 FAU917581:FBK917581 FKQ917581:FLG917581 FUM917581:FVC917581 GEI917581:GEY917581 GOE917581:GOU917581 GYA917581:GYQ917581 HHW917581:HIM917581 HRS917581:HSI917581 IBO917581:ICE917581 ILK917581:IMA917581 IVG917581:IVW917581 JFC917581:JFS917581 JOY917581:JPO917581 JYU917581:JZK917581 KIQ917581:KJG917581 KSM917581:KTC917581 LCI917581:LCY917581 LME917581:LMU917581 LWA917581:LWQ917581 MFW917581:MGM917581 MPS917581:MQI917581 MZO917581:NAE917581 NJK917581:NKA917581 NTG917581:NTW917581 ODC917581:ODS917581 OMY917581:ONO917581 OWU917581:OXK917581 PGQ917581:PHG917581 PQM917581:PRC917581 QAI917581:QAY917581 QKE917581:QKU917581 QUA917581:QUQ917581 RDW917581:REM917581 RNS917581:ROI917581 RXO917581:RYE917581 SHK917581:SIA917581 SRG917581:SRW917581 TBC917581:TBS917581 TKY917581:TLO917581 TUU917581:TVK917581 UEQ917581:UFG917581 UOM917581:UPC917581 UYI917581:UYY917581 VIE917581:VIU917581 VSA917581:VSQ917581 WBW917581:WCM917581 WLS917581:WMI917581 WVO917581:WWE917581 G983117:W983117 JC983117:JS983117 SY983117:TO983117 ACU983117:ADK983117 AMQ983117:ANG983117 AWM983117:AXC983117 BGI983117:BGY983117 BQE983117:BQU983117 CAA983117:CAQ983117 CJW983117:CKM983117 CTS983117:CUI983117 DDO983117:DEE983117 DNK983117:DOA983117 DXG983117:DXW983117 EHC983117:EHS983117 EQY983117:ERO983117 FAU983117:FBK983117 FKQ983117:FLG983117 FUM983117:FVC983117 GEI983117:GEY983117 GOE983117:GOU983117 GYA983117:GYQ983117 HHW983117:HIM983117 HRS983117:HSI983117 IBO983117:ICE983117 ILK983117:IMA983117 IVG983117:IVW983117 JFC983117:JFS983117 JOY983117:JPO983117 JYU983117:JZK983117 KIQ983117:KJG983117 KSM983117:KTC983117 LCI983117:LCY983117 LME983117:LMU983117 LWA983117:LWQ983117 MFW983117:MGM983117 MPS983117:MQI983117 MZO983117:NAE983117 NJK983117:NKA983117 NTG983117:NTW983117 ODC983117:ODS983117 OMY983117:ONO983117 OWU983117:OXK983117 PGQ983117:PHG983117 PQM983117:PRC983117 QAI983117:QAY983117 QKE983117:QKU983117 QUA983117:QUQ983117 RDW983117:REM983117 RNS983117:ROI983117 RXO983117:RYE983117 SHK983117:SIA983117 SRG983117:SRW983117 TBC983117:TBS983117 TKY983117:TLO983117 TUU983117:TVK983117 UEQ983117:UFG983117 UOM983117:UPC983117 UYI983117:UYY983117 VIE983117:VIU983117 VSA983117:VSQ983117 WBW983117:WCM983117 WLS983117:WMI983117 WVO983117:WWE983117 R61:V61 JN61:JR61 TJ61:TN61 ADF61:ADJ61 ANB61:ANF61 AWX61:AXB61 BGT61:BGX61 BQP61:BQT61 CAL61:CAP61 CKH61:CKL61 CUD61:CUH61 DDZ61:DED61 DNV61:DNZ61 DXR61:DXV61 EHN61:EHR61 ERJ61:ERN61 FBF61:FBJ61 FLB61:FLF61 FUX61:FVB61 GET61:GEX61 GOP61:GOT61 GYL61:GYP61 HIH61:HIL61 HSD61:HSH61 IBZ61:ICD61 ILV61:ILZ61 IVR61:IVV61 JFN61:JFR61 JPJ61:JPN61 JZF61:JZJ61 KJB61:KJF61 KSX61:KTB61 LCT61:LCX61 LMP61:LMT61 LWL61:LWP61 MGH61:MGL61 MQD61:MQH61 MZZ61:NAD61 NJV61:NJZ61 NTR61:NTV61 ODN61:ODR61 ONJ61:ONN61 OXF61:OXJ61 PHB61:PHF61 PQX61:PRB61 QAT61:QAX61 QKP61:QKT61 QUL61:QUP61 REH61:REL61 ROD61:ROH61 RXZ61:RYD61 SHV61:SHZ61 SRR61:SRV61 TBN61:TBR61 TLJ61:TLN61 TVF61:TVJ61 UFB61:UFF61 UOX61:UPB61 UYT61:UYX61 VIP61:VIT61 VSL61:VSP61 WCH61:WCL61 WMD61:WMH61 WVZ61:WWD61 R65597:V65597 JN65597:JR65597 TJ65597:TN65597 ADF65597:ADJ65597 ANB65597:ANF65597 AWX65597:AXB65597 BGT65597:BGX65597 BQP65597:BQT65597 CAL65597:CAP65597 CKH65597:CKL65597 CUD65597:CUH65597 DDZ65597:DED65597 DNV65597:DNZ65597 DXR65597:DXV65597 EHN65597:EHR65597 ERJ65597:ERN65597 FBF65597:FBJ65597 FLB65597:FLF65597 FUX65597:FVB65597 GET65597:GEX65597 GOP65597:GOT65597 GYL65597:GYP65597 HIH65597:HIL65597 HSD65597:HSH65597 IBZ65597:ICD65597 ILV65597:ILZ65597 IVR65597:IVV65597 JFN65597:JFR65597 JPJ65597:JPN65597 JZF65597:JZJ65597 KJB65597:KJF65597 KSX65597:KTB65597 LCT65597:LCX65597 LMP65597:LMT65597 LWL65597:LWP65597 MGH65597:MGL65597 MQD65597:MQH65597 MZZ65597:NAD65597 NJV65597:NJZ65597 NTR65597:NTV65597 ODN65597:ODR65597 ONJ65597:ONN65597 OXF65597:OXJ65597 PHB65597:PHF65597 PQX65597:PRB65597 QAT65597:QAX65597 QKP65597:QKT65597 QUL65597:QUP65597 REH65597:REL65597 ROD65597:ROH65597 RXZ65597:RYD65597 SHV65597:SHZ65597 SRR65597:SRV65597 TBN65597:TBR65597 TLJ65597:TLN65597 TVF65597:TVJ65597 UFB65597:UFF65597 UOX65597:UPB65597 UYT65597:UYX65597 VIP65597:VIT65597 VSL65597:VSP65597 WCH65597:WCL65597 WMD65597:WMH65597 WVZ65597:WWD65597 R131133:V131133 JN131133:JR131133 TJ131133:TN131133 ADF131133:ADJ131133 ANB131133:ANF131133 AWX131133:AXB131133 BGT131133:BGX131133 BQP131133:BQT131133 CAL131133:CAP131133 CKH131133:CKL131133 CUD131133:CUH131133 DDZ131133:DED131133 DNV131133:DNZ131133 DXR131133:DXV131133 EHN131133:EHR131133 ERJ131133:ERN131133 FBF131133:FBJ131133 FLB131133:FLF131133 FUX131133:FVB131133 GET131133:GEX131133 GOP131133:GOT131133 GYL131133:GYP131133 HIH131133:HIL131133 HSD131133:HSH131133 IBZ131133:ICD131133 ILV131133:ILZ131133 IVR131133:IVV131133 JFN131133:JFR131133 JPJ131133:JPN131133 JZF131133:JZJ131133 KJB131133:KJF131133 KSX131133:KTB131133 LCT131133:LCX131133 LMP131133:LMT131133 LWL131133:LWP131133 MGH131133:MGL131133 MQD131133:MQH131133 MZZ131133:NAD131133 NJV131133:NJZ131133 NTR131133:NTV131133 ODN131133:ODR131133 ONJ131133:ONN131133 OXF131133:OXJ131133 PHB131133:PHF131133 PQX131133:PRB131133 QAT131133:QAX131133 QKP131133:QKT131133 QUL131133:QUP131133 REH131133:REL131133 ROD131133:ROH131133 RXZ131133:RYD131133 SHV131133:SHZ131133 SRR131133:SRV131133 TBN131133:TBR131133 TLJ131133:TLN131133 TVF131133:TVJ131133 UFB131133:UFF131133 UOX131133:UPB131133 UYT131133:UYX131133 VIP131133:VIT131133 VSL131133:VSP131133 WCH131133:WCL131133 WMD131133:WMH131133 WVZ131133:WWD131133 R196669:V196669 JN196669:JR196669 TJ196669:TN196669 ADF196669:ADJ196669 ANB196669:ANF196669 AWX196669:AXB196669 BGT196669:BGX196669 BQP196669:BQT196669 CAL196669:CAP196669 CKH196669:CKL196669 CUD196669:CUH196669 DDZ196669:DED196669 DNV196669:DNZ196669 DXR196669:DXV196669 EHN196669:EHR196669 ERJ196669:ERN196669 FBF196669:FBJ196669 FLB196669:FLF196669 FUX196669:FVB196669 GET196669:GEX196669 GOP196669:GOT196669 GYL196669:GYP196669 HIH196669:HIL196669 HSD196669:HSH196669 IBZ196669:ICD196669 ILV196669:ILZ196669 IVR196669:IVV196669 JFN196669:JFR196669 JPJ196669:JPN196669 JZF196669:JZJ196669 KJB196669:KJF196669 KSX196669:KTB196669 LCT196669:LCX196669 LMP196669:LMT196669 LWL196669:LWP196669 MGH196669:MGL196669 MQD196669:MQH196669 MZZ196669:NAD196669 NJV196669:NJZ196669 NTR196669:NTV196669 ODN196669:ODR196669 ONJ196669:ONN196669 OXF196669:OXJ196669 PHB196669:PHF196669 PQX196669:PRB196669 QAT196669:QAX196669 QKP196669:QKT196669 QUL196669:QUP196669 REH196669:REL196669 ROD196669:ROH196669 RXZ196669:RYD196669 SHV196669:SHZ196669 SRR196669:SRV196669 TBN196669:TBR196669 TLJ196669:TLN196669 TVF196669:TVJ196669 UFB196669:UFF196669 UOX196669:UPB196669 UYT196669:UYX196669 VIP196669:VIT196669 VSL196669:VSP196669 WCH196669:WCL196669 WMD196669:WMH196669 WVZ196669:WWD196669 R262205:V262205 JN262205:JR262205 TJ262205:TN262205 ADF262205:ADJ262205 ANB262205:ANF262205 AWX262205:AXB262205 BGT262205:BGX262205 BQP262205:BQT262205 CAL262205:CAP262205 CKH262205:CKL262205 CUD262205:CUH262205 DDZ262205:DED262205 DNV262205:DNZ262205 DXR262205:DXV262205 EHN262205:EHR262205 ERJ262205:ERN262205 FBF262205:FBJ262205 FLB262205:FLF262205 FUX262205:FVB262205 GET262205:GEX262205 GOP262205:GOT262205 GYL262205:GYP262205 HIH262205:HIL262205 HSD262205:HSH262205 IBZ262205:ICD262205 ILV262205:ILZ262205 IVR262205:IVV262205 JFN262205:JFR262205 JPJ262205:JPN262205 JZF262205:JZJ262205 KJB262205:KJF262205 KSX262205:KTB262205 LCT262205:LCX262205 LMP262205:LMT262205 LWL262205:LWP262205 MGH262205:MGL262205 MQD262205:MQH262205 MZZ262205:NAD262205 NJV262205:NJZ262205 NTR262205:NTV262205 ODN262205:ODR262205 ONJ262205:ONN262205 OXF262205:OXJ262205 PHB262205:PHF262205 PQX262205:PRB262205 QAT262205:QAX262205 QKP262205:QKT262205 QUL262205:QUP262205 REH262205:REL262205 ROD262205:ROH262205 RXZ262205:RYD262205 SHV262205:SHZ262205 SRR262205:SRV262205 TBN262205:TBR262205 TLJ262205:TLN262205 TVF262205:TVJ262205 UFB262205:UFF262205 UOX262205:UPB262205 UYT262205:UYX262205 VIP262205:VIT262205 VSL262205:VSP262205 WCH262205:WCL262205 WMD262205:WMH262205 WVZ262205:WWD262205 R327741:V327741 JN327741:JR327741 TJ327741:TN327741 ADF327741:ADJ327741 ANB327741:ANF327741 AWX327741:AXB327741 BGT327741:BGX327741 BQP327741:BQT327741 CAL327741:CAP327741 CKH327741:CKL327741 CUD327741:CUH327741 DDZ327741:DED327741 DNV327741:DNZ327741 DXR327741:DXV327741 EHN327741:EHR327741 ERJ327741:ERN327741 FBF327741:FBJ327741 FLB327741:FLF327741 FUX327741:FVB327741 GET327741:GEX327741 GOP327741:GOT327741 GYL327741:GYP327741 HIH327741:HIL327741 HSD327741:HSH327741 IBZ327741:ICD327741 ILV327741:ILZ327741 IVR327741:IVV327741 JFN327741:JFR327741 JPJ327741:JPN327741 JZF327741:JZJ327741 KJB327741:KJF327741 KSX327741:KTB327741 LCT327741:LCX327741 LMP327741:LMT327741 LWL327741:LWP327741 MGH327741:MGL327741 MQD327741:MQH327741 MZZ327741:NAD327741 NJV327741:NJZ327741 NTR327741:NTV327741 ODN327741:ODR327741 ONJ327741:ONN327741 OXF327741:OXJ327741 PHB327741:PHF327741 PQX327741:PRB327741 QAT327741:QAX327741 QKP327741:QKT327741 QUL327741:QUP327741 REH327741:REL327741 ROD327741:ROH327741 RXZ327741:RYD327741 SHV327741:SHZ327741 SRR327741:SRV327741 TBN327741:TBR327741 TLJ327741:TLN327741 TVF327741:TVJ327741 UFB327741:UFF327741 UOX327741:UPB327741 UYT327741:UYX327741 VIP327741:VIT327741 VSL327741:VSP327741 WCH327741:WCL327741 WMD327741:WMH327741 WVZ327741:WWD327741 R393277:V393277 JN393277:JR393277 TJ393277:TN393277 ADF393277:ADJ393277 ANB393277:ANF393277 AWX393277:AXB393277 BGT393277:BGX393277 BQP393277:BQT393277 CAL393277:CAP393277 CKH393277:CKL393277 CUD393277:CUH393277 DDZ393277:DED393277 DNV393277:DNZ393277 DXR393277:DXV393277 EHN393277:EHR393277 ERJ393277:ERN393277 FBF393277:FBJ393277 FLB393277:FLF393277 FUX393277:FVB393277 GET393277:GEX393277 GOP393277:GOT393277 GYL393277:GYP393277 HIH393277:HIL393277 HSD393277:HSH393277 IBZ393277:ICD393277 ILV393277:ILZ393277 IVR393277:IVV393277 JFN393277:JFR393277 JPJ393277:JPN393277 JZF393277:JZJ393277 KJB393277:KJF393277 KSX393277:KTB393277 LCT393277:LCX393277 LMP393277:LMT393277 LWL393277:LWP393277 MGH393277:MGL393277 MQD393277:MQH393277 MZZ393277:NAD393277 NJV393277:NJZ393277 NTR393277:NTV393277 ODN393277:ODR393277 ONJ393277:ONN393277 OXF393277:OXJ393277 PHB393277:PHF393277 PQX393277:PRB393277 QAT393277:QAX393277 QKP393277:QKT393277 QUL393277:QUP393277 REH393277:REL393277 ROD393277:ROH393277 RXZ393277:RYD393277 SHV393277:SHZ393277 SRR393277:SRV393277 TBN393277:TBR393277 TLJ393277:TLN393277 TVF393277:TVJ393277 UFB393277:UFF393277 UOX393277:UPB393277 UYT393277:UYX393277 VIP393277:VIT393277 VSL393277:VSP393277 WCH393277:WCL393277 WMD393277:WMH393277 WVZ393277:WWD393277 R458813:V458813 JN458813:JR458813 TJ458813:TN458813 ADF458813:ADJ458813 ANB458813:ANF458813 AWX458813:AXB458813 BGT458813:BGX458813 BQP458813:BQT458813 CAL458813:CAP458813 CKH458813:CKL458813 CUD458813:CUH458813 DDZ458813:DED458813 DNV458813:DNZ458813 DXR458813:DXV458813 EHN458813:EHR458813 ERJ458813:ERN458813 FBF458813:FBJ458813 FLB458813:FLF458813 FUX458813:FVB458813 GET458813:GEX458813 GOP458813:GOT458813 GYL458813:GYP458813 HIH458813:HIL458813 HSD458813:HSH458813 IBZ458813:ICD458813 ILV458813:ILZ458813 IVR458813:IVV458813 JFN458813:JFR458813 JPJ458813:JPN458813 JZF458813:JZJ458813 KJB458813:KJF458813 KSX458813:KTB458813 LCT458813:LCX458813 LMP458813:LMT458813 LWL458813:LWP458813 MGH458813:MGL458813 MQD458813:MQH458813 MZZ458813:NAD458813 NJV458813:NJZ458813 NTR458813:NTV458813 ODN458813:ODR458813 ONJ458813:ONN458813 OXF458813:OXJ458813 PHB458813:PHF458813 PQX458813:PRB458813 QAT458813:QAX458813 QKP458813:QKT458813 QUL458813:QUP458813 REH458813:REL458813 ROD458813:ROH458813 RXZ458813:RYD458813 SHV458813:SHZ458813 SRR458813:SRV458813 TBN458813:TBR458813 TLJ458813:TLN458813 TVF458813:TVJ458813 UFB458813:UFF458813 UOX458813:UPB458813 UYT458813:UYX458813 VIP458813:VIT458813 VSL458813:VSP458813 WCH458813:WCL458813 WMD458813:WMH458813 WVZ458813:WWD458813 R524349:V524349 JN524349:JR524349 TJ524349:TN524349 ADF524349:ADJ524349 ANB524349:ANF524349 AWX524349:AXB524349 BGT524349:BGX524349 BQP524349:BQT524349 CAL524349:CAP524349 CKH524349:CKL524349 CUD524349:CUH524349 DDZ524349:DED524349 DNV524349:DNZ524349 DXR524349:DXV524349 EHN524349:EHR524349 ERJ524349:ERN524349 FBF524349:FBJ524349 FLB524349:FLF524349 FUX524349:FVB524349 GET524349:GEX524349 GOP524349:GOT524349 GYL524349:GYP524349 HIH524349:HIL524349 HSD524349:HSH524349 IBZ524349:ICD524349 ILV524349:ILZ524349 IVR524349:IVV524349 JFN524349:JFR524349 JPJ524349:JPN524349 JZF524349:JZJ524349 KJB524349:KJF524349 KSX524349:KTB524349 LCT524349:LCX524349 LMP524349:LMT524349 LWL524349:LWP524349 MGH524349:MGL524349 MQD524349:MQH524349 MZZ524349:NAD524349 NJV524349:NJZ524349 NTR524349:NTV524349 ODN524349:ODR524349 ONJ524349:ONN524349 OXF524349:OXJ524349 PHB524349:PHF524349 PQX524349:PRB524349 QAT524349:QAX524349 QKP524349:QKT524349 QUL524349:QUP524349 REH524349:REL524349 ROD524349:ROH524349 RXZ524349:RYD524349 SHV524349:SHZ524349 SRR524349:SRV524349 TBN524349:TBR524349 TLJ524349:TLN524349 TVF524349:TVJ524349 UFB524349:UFF524349 UOX524349:UPB524349 UYT524349:UYX524349 VIP524349:VIT524349 VSL524349:VSP524349 WCH524349:WCL524349 WMD524349:WMH524349 WVZ524349:WWD524349 R589885:V589885 JN589885:JR589885 TJ589885:TN589885 ADF589885:ADJ589885 ANB589885:ANF589885 AWX589885:AXB589885 BGT589885:BGX589885 BQP589885:BQT589885 CAL589885:CAP589885 CKH589885:CKL589885 CUD589885:CUH589885 DDZ589885:DED589885 DNV589885:DNZ589885 DXR589885:DXV589885 EHN589885:EHR589885 ERJ589885:ERN589885 FBF589885:FBJ589885 FLB589885:FLF589885 FUX589885:FVB589885 GET589885:GEX589885 GOP589885:GOT589885 GYL589885:GYP589885 HIH589885:HIL589885 HSD589885:HSH589885 IBZ589885:ICD589885 ILV589885:ILZ589885 IVR589885:IVV589885 JFN589885:JFR589885 JPJ589885:JPN589885 JZF589885:JZJ589885 KJB589885:KJF589885 KSX589885:KTB589885 LCT589885:LCX589885 LMP589885:LMT589885 LWL589885:LWP589885 MGH589885:MGL589885 MQD589885:MQH589885 MZZ589885:NAD589885 NJV589885:NJZ589885 NTR589885:NTV589885 ODN589885:ODR589885 ONJ589885:ONN589885 OXF589885:OXJ589885 PHB589885:PHF589885 PQX589885:PRB589885 QAT589885:QAX589885 QKP589885:QKT589885 QUL589885:QUP589885 REH589885:REL589885 ROD589885:ROH589885 RXZ589885:RYD589885 SHV589885:SHZ589885 SRR589885:SRV589885 TBN589885:TBR589885 TLJ589885:TLN589885 TVF589885:TVJ589885 UFB589885:UFF589885 UOX589885:UPB589885 UYT589885:UYX589885 VIP589885:VIT589885 VSL589885:VSP589885 WCH589885:WCL589885 WMD589885:WMH589885 WVZ589885:WWD589885 R655421:V655421 JN655421:JR655421 TJ655421:TN655421 ADF655421:ADJ655421 ANB655421:ANF655421 AWX655421:AXB655421 BGT655421:BGX655421 BQP655421:BQT655421 CAL655421:CAP655421 CKH655421:CKL655421 CUD655421:CUH655421 DDZ655421:DED655421 DNV655421:DNZ655421 DXR655421:DXV655421 EHN655421:EHR655421 ERJ655421:ERN655421 FBF655421:FBJ655421 FLB655421:FLF655421 FUX655421:FVB655421 GET655421:GEX655421 GOP655421:GOT655421 GYL655421:GYP655421 HIH655421:HIL655421 HSD655421:HSH655421 IBZ655421:ICD655421 ILV655421:ILZ655421 IVR655421:IVV655421 JFN655421:JFR655421 JPJ655421:JPN655421 JZF655421:JZJ655421 KJB655421:KJF655421 KSX655421:KTB655421 LCT655421:LCX655421 LMP655421:LMT655421 LWL655421:LWP655421 MGH655421:MGL655421 MQD655421:MQH655421 MZZ655421:NAD655421 NJV655421:NJZ655421 NTR655421:NTV655421 ODN655421:ODR655421 ONJ655421:ONN655421 OXF655421:OXJ655421 PHB655421:PHF655421 PQX655421:PRB655421 QAT655421:QAX655421 QKP655421:QKT655421 QUL655421:QUP655421 REH655421:REL655421 ROD655421:ROH655421 RXZ655421:RYD655421 SHV655421:SHZ655421 SRR655421:SRV655421 TBN655421:TBR655421 TLJ655421:TLN655421 TVF655421:TVJ655421 UFB655421:UFF655421 UOX655421:UPB655421 UYT655421:UYX655421 VIP655421:VIT655421 VSL655421:VSP655421 WCH655421:WCL655421 WMD655421:WMH655421 WVZ655421:WWD655421 R720957:V720957 JN720957:JR720957 TJ720957:TN720957 ADF720957:ADJ720957 ANB720957:ANF720957 AWX720957:AXB720957 BGT720957:BGX720957 BQP720957:BQT720957 CAL720957:CAP720957 CKH720957:CKL720957 CUD720957:CUH720957 DDZ720957:DED720957 DNV720957:DNZ720957 DXR720957:DXV720957 EHN720957:EHR720957 ERJ720957:ERN720957 FBF720957:FBJ720957 FLB720957:FLF720957 FUX720957:FVB720957 GET720957:GEX720957 GOP720957:GOT720957 GYL720957:GYP720957 HIH720957:HIL720957 HSD720957:HSH720957 IBZ720957:ICD720957 ILV720957:ILZ720957 IVR720957:IVV720957 JFN720957:JFR720957 JPJ720957:JPN720957 JZF720957:JZJ720957 KJB720957:KJF720957 KSX720957:KTB720957 LCT720957:LCX720957 LMP720957:LMT720957 LWL720957:LWP720957 MGH720957:MGL720957 MQD720957:MQH720957 MZZ720957:NAD720957 NJV720957:NJZ720957 NTR720957:NTV720957 ODN720957:ODR720957 ONJ720957:ONN720957 OXF720957:OXJ720957 PHB720957:PHF720957 PQX720957:PRB720957 QAT720957:QAX720957 QKP720957:QKT720957 QUL720957:QUP720957 REH720957:REL720957 ROD720957:ROH720957 RXZ720957:RYD720957 SHV720957:SHZ720957 SRR720957:SRV720957 TBN720957:TBR720957 TLJ720957:TLN720957 TVF720957:TVJ720957 UFB720957:UFF720957 UOX720957:UPB720957 UYT720957:UYX720957 VIP720957:VIT720957 VSL720957:VSP720957 WCH720957:WCL720957 WMD720957:WMH720957 WVZ720957:WWD720957 R786493:V786493 JN786493:JR786493 TJ786493:TN786493 ADF786493:ADJ786493 ANB786493:ANF786493 AWX786493:AXB786493 BGT786493:BGX786493 BQP786493:BQT786493 CAL786493:CAP786493 CKH786493:CKL786493 CUD786493:CUH786493 DDZ786493:DED786493 DNV786493:DNZ786493 DXR786493:DXV786493 EHN786493:EHR786493 ERJ786493:ERN786493 FBF786493:FBJ786493 FLB786493:FLF786493 FUX786493:FVB786493 GET786493:GEX786493 GOP786493:GOT786493 GYL786493:GYP786493 HIH786493:HIL786493 HSD786493:HSH786493 IBZ786493:ICD786493 ILV786493:ILZ786493 IVR786493:IVV786493 JFN786493:JFR786493 JPJ786493:JPN786493 JZF786493:JZJ786493 KJB786493:KJF786493 KSX786493:KTB786493 LCT786493:LCX786493 LMP786493:LMT786493 LWL786493:LWP786493 MGH786493:MGL786493 MQD786493:MQH786493 MZZ786493:NAD786493 NJV786493:NJZ786493 NTR786493:NTV786493 ODN786493:ODR786493 ONJ786493:ONN786493 OXF786493:OXJ786493 PHB786493:PHF786493 PQX786493:PRB786493 QAT786493:QAX786493 QKP786493:QKT786493 QUL786493:QUP786493 REH786493:REL786493 ROD786493:ROH786493 RXZ786493:RYD786493 SHV786493:SHZ786493 SRR786493:SRV786493 TBN786493:TBR786493 TLJ786493:TLN786493 TVF786493:TVJ786493 UFB786493:UFF786493 UOX786493:UPB786493 UYT786493:UYX786493 VIP786493:VIT786493 VSL786493:VSP786493 WCH786493:WCL786493 WMD786493:WMH786493 WVZ786493:WWD786493 R852029:V852029 JN852029:JR852029 TJ852029:TN852029 ADF852029:ADJ852029 ANB852029:ANF852029 AWX852029:AXB852029 BGT852029:BGX852029 BQP852029:BQT852029 CAL852029:CAP852029 CKH852029:CKL852029 CUD852029:CUH852029 DDZ852029:DED852029 DNV852029:DNZ852029 DXR852029:DXV852029 EHN852029:EHR852029 ERJ852029:ERN852029 FBF852029:FBJ852029 FLB852029:FLF852029 FUX852029:FVB852029 GET852029:GEX852029 GOP852029:GOT852029 GYL852029:GYP852029 HIH852029:HIL852029 HSD852029:HSH852029 IBZ852029:ICD852029 ILV852029:ILZ852029 IVR852029:IVV852029 JFN852029:JFR852029 JPJ852029:JPN852029 JZF852029:JZJ852029 KJB852029:KJF852029 KSX852029:KTB852029 LCT852029:LCX852029 LMP852029:LMT852029 LWL852029:LWP852029 MGH852029:MGL852029 MQD852029:MQH852029 MZZ852029:NAD852029 NJV852029:NJZ852029 NTR852029:NTV852029 ODN852029:ODR852029 ONJ852029:ONN852029 OXF852029:OXJ852029 PHB852029:PHF852029 PQX852029:PRB852029 QAT852029:QAX852029 QKP852029:QKT852029 QUL852029:QUP852029 REH852029:REL852029 ROD852029:ROH852029 RXZ852029:RYD852029 SHV852029:SHZ852029 SRR852029:SRV852029 TBN852029:TBR852029 TLJ852029:TLN852029 TVF852029:TVJ852029 UFB852029:UFF852029 UOX852029:UPB852029 UYT852029:UYX852029 VIP852029:VIT852029 VSL852029:VSP852029 WCH852029:WCL852029 WMD852029:WMH852029 WVZ852029:WWD852029 R917565:V917565 JN917565:JR917565 TJ917565:TN917565 ADF917565:ADJ917565 ANB917565:ANF917565 AWX917565:AXB917565 BGT917565:BGX917565 BQP917565:BQT917565 CAL917565:CAP917565 CKH917565:CKL917565 CUD917565:CUH917565 DDZ917565:DED917565 DNV917565:DNZ917565 DXR917565:DXV917565 EHN917565:EHR917565 ERJ917565:ERN917565 FBF917565:FBJ917565 FLB917565:FLF917565 FUX917565:FVB917565 GET917565:GEX917565 GOP917565:GOT917565 GYL917565:GYP917565 HIH917565:HIL917565 HSD917565:HSH917565 IBZ917565:ICD917565 ILV917565:ILZ917565 IVR917565:IVV917565 JFN917565:JFR917565 JPJ917565:JPN917565 JZF917565:JZJ917565 KJB917565:KJF917565 KSX917565:KTB917565 LCT917565:LCX917565 LMP917565:LMT917565 LWL917565:LWP917565 MGH917565:MGL917565 MQD917565:MQH917565 MZZ917565:NAD917565 NJV917565:NJZ917565 NTR917565:NTV917565 ODN917565:ODR917565 ONJ917565:ONN917565 OXF917565:OXJ917565 PHB917565:PHF917565 PQX917565:PRB917565 QAT917565:QAX917565 QKP917565:QKT917565 QUL917565:QUP917565 REH917565:REL917565 ROD917565:ROH917565 RXZ917565:RYD917565 SHV917565:SHZ917565 SRR917565:SRV917565 TBN917565:TBR917565 TLJ917565:TLN917565 TVF917565:TVJ917565 UFB917565:UFF917565 UOX917565:UPB917565 UYT917565:UYX917565 VIP917565:VIT917565 VSL917565:VSP917565 WCH917565:WCL917565 WMD917565:WMH917565 WVZ917565:WWD917565 R983101:V983101 JN983101:JR983101 TJ983101:TN983101 ADF983101:ADJ983101 ANB983101:ANF983101 AWX983101:AXB983101 BGT983101:BGX983101 BQP983101:BQT983101 CAL983101:CAP983101 CKH983101:CKL983101 CUD983101:CUH983101 DDZ983101:DED983101 DNV983101:DNZ983101 DXR983101:DXV983101 EHN983101:EHR983101 ERJ983101:ERN983101 FBF983101:FBJ983101 FLB983101:FLF983101 FUX983101:FVB983101 GET983101:GEX983101 GOP983101:GOT983101 GYL983101:GYP983101 HIH983101:HIL983101 HSD983101:HSH983101 IBZ983101:ICD983101 ILV983101:ILZ983101 IVR983101:IVV983101 JFN983101:JFR983101 JPJ983101:JPN983101 JZF983101:JZJ983101 KJB983101:KJF983101 KSX983101:KTB983101 LCT983101:LCX983101 LMP983101:LMT983101 LWL983101:LWP983101 MGH983101:MGL983101 MQD983101:MQH983101 MZZ983101:NAD983101 NJV983101:NJZ983101 NTR983101:NTV983101 ODN983101:ODR983101 ONJ983101:ONN983101 OXF983101:OXJ983101 PHB983101:PHF983101 PQX983101:PRB983101 QAT983101:QAX983101 QKP983101:QKT983101 QUL983101:QUP983101 REH983101:REL983101 ROD983101:ROH983101 RXZ983101:RYD983101 SHV983101:SHZ983101 SRR983101:SRV983101 TBN983101:TBR983101 TLJ983101:TLN983101 TVF983101:TVJ983101 UFB983101:UFF983101 UOX983101:UPB983101 UYT983101:UYX983101 VIP983101:VIT983101 VSL983101:VSP983101 WCH983101:WCL983101 WMD983101:WMH983101 WVZ983101:WWD983101 Q70:V70 JM70:JR70 TI70:TN70 ADE70:ADJ70 ANA70:ANF70 AWW70:AXB70 BGS70:BGX70 BQO70:BQT70 CAK70:CAP70 CKG70:CKL70 CUC70:CUH70 DDY70:DED70 DNU70:DNZ70 DXQ70:DXV70 EHM70:EHR70 ERI70:ERN70 FBE70:FBJ70 FLA70:FLF70 FUW70:FVB70 GES70:GEX70 GOO70:GOT70 GYK70:GYP70 HIG70:HIL70 HSC70:HSH70 IBY70:ICD70 ILU70:ILZ70 IVQ70:IVV70 JFM70:JFR70 JPI70:JPN70 JZE70:JZJ70 KJA70:KJF70 KSW70:KTB70 LCS70:LCX70 LMO70:LMT70 LWK70:LWP70 MGG70:MGL70 MQC70:MQH70 MZY70:NAD70 NJU70:NJZ70 NTQ70:NTV70 ODM70:ODR70 ONI70:ONN70 OXE70:OXJ70 PHA70:PHF70 PQW70:PRB70 QAS70:QAX70 QKO70:QKT70 QUK70:QUP70 REG70:REL70 ROC70:ROH70 RXY70:RYD70 SHU70:SHZ70 SRQ70:SRV70 TBM70:TBR70 TLI70:TLN70 TVE70:TVJ70 UFA70:UFF70 UOW70:UPB70 UYS70:UYX70 VIO70:VIT70 VSK70:VSP70 WCG70:WCL70 WMC70:WMH70 WVY70:WWD70 Q65606:V65606 JM65606:JR65606 TI65606:TN65606 ADE65606:ADJ65606 ANA65606:ANF65606 AWW65606:AXB65606 BGS65606:BGX65606 BQO65606:BQT65606 CAK65606:CAP65606 CKG65606:CKL65606 CUC65606:CUH65606 DDY65606:DED65606 DNU65606:DNZ65606 DXQ65606:DXV65606 EHM65606:EHR65606 ERI65606:ERN65606 FBE65606:FBJ65606 FLA65606:FLF65606 FUW65606:FVB65606 GES65606:GEX65606 GOO65606:GOT65606 GYK65606:GYP65606 HIG65606:HIL65606 HSC65606:HSH65606 IBY65606:ICD65606 ILU65606:ILZ65606 IVQ65606:IVV65606 JFM65606:JFR65606 JPI65606:JPN65606 JZE65606:JZJ65606 KJA65606:KJF65606 KSW65606:KTB65606 LCS65606:LCX65606 LMO65606:LMT65606 LWK65606:LWP65606 MGG65606:MGL65606 MQC65606:MQH65606 MZY65606:NAD65606 NJU65606:NJZ65606 NTQ65606:NTV65606 ODM65606:ODR65606 ONI65606:ONN65606 OXE65606:OXJ65606 PHA65606:PHF65606 PQW65606:PRB65606 QAS65606:QAX65606 QKO65606:QKT65606 QUK65606:QUP65606 REG65606:REL65606 ROC65606:ROH65606 RXY65606:RYD65606 SHU65606:SHZ65606 SRQ65606:SRV65606 TBM65606:TBR65606 TLI65606:TLN65606 TVE65606:TVJ65606 UFA65606:UFF65606 UOW65606:UPB65606 UYS65606:UYX65606 VIO65606:VIT65606 VSK65606:VSP65606 WCG65606:WCL65606 WMC65606:WMH65606 WVY65606:WWD65606 Q131142:V131142 JM131142:JR131142 TI131142:TN131142 ADE131142:ADJ131142 ANA131142:ANF131142 AWW131142:AXB131142 BGS131142:BGX131142 BQO131142:BQT131142 CAK131142:CAP131142 CKG131142:CKL131142 CUC131142:CUH131142 DDY131142:DED131142 DNU131142:DNZ131142 DXQ131142:DXV131142 EHM131142:EHR131142 ERI131142:ERN131142 FBE131142:FBJ131142 FLA131142:FLF131142 FUW131142:FVB131142 GES131142:GEX131142 GOO131142:GOT131142 GYK131142:GYP131142 HIG131142:HIL131142 HSC131142:HSH131142 IBY131142:ICD131142 ILU131142:ILZ131142 IVQ131142:IVV131142 JFM131142:JFR131142 JPI131142:JPN131142 JZE131142:JZJ131142 KJA131142:KJF131142 KSW131142:KTB131142 LCS131142:LCX131142 LMO131142:LMT131142 LWK131142:LWP131142 MGG131142:MGL131142 MQC131142:MQH131142 MZY131142:NAD131142 NJU131142:NJZ131142 NTQ131142:NTV131142 ODM131142:ODR131142 ONI131142:ONN131142 OXE131142:OXJ131142 PHA131142:PHF131142 PQW131142:PRB131142 QAS131142:QAX131142 QKO131142:QKT131142 QUK131142:QUP131142 REG131142:REL131142 ROC131142:ROH131142 RXY131142:RYD131142 SHU131142:SHZ131142 SRQ131142:SRV131142 TBM131142:TBR131142 TLI131142:TLN131142 TVE131142:TVJ131142 UFA131142:UFF131142 UOW131142:UPB131142 UYS131142:UYX131142 VIO131142:VIT131142 VSK131142:VSP131142 WCG131142:WCL131142 WMC131142:WMH131142 WVY131142:WWD131142 Q196678:V196678 JM196678:JR196678 TI196678:TN196678 ADE196678:ADJ196678 ANA196678:ANF196678 AWW196678:AXB196678 BGS196678:BGX196678 BQO196678:BQT196678 CAK196678:CAP196678 CKG196678:CKL196678 CUC196678:CUH196678 DDY196678:DED196678 DNU196678:DNZ196678 DXQ196678:DXV196678 EHM196678:EHR196678 ERI196678:ERN196678 FBE196678:FBJ196678 FLA196678:FLF196678 FUW196678:FVB196678 GES196678:GEX196678 GOO196678:GOT196678 GYK196678:GYP196678 HIG196678:HIL196678 HSC196678:HSH196678 IBY196678:ICD196678 ILU196678:ILZ196678 IVQ196678:IVV196678 JFM196678:JFR196678 JPI196678:JPN196678 JZE196678:JZJ196678 KJA196678:KJF196678 KSW196678:KTB196678 LCS196678:LCX196678 LMO196678:LMT196678 LWK196678:LWP196678 MGG196678:MGL196678 MQC196678:MQH196678 MZY196678:NAD196678 NJU196678:NJZ196678 NTQ196678:NTV196678 ODM196678:ODR196678 ONI196678:ONN196678 OXE196678:OXJ196678 PHA196678:PHF196678 PQW196678:PRB196678 QAS196678:QAX196678 QKO196678:QKT196678 QUK196678:QUP196678 REG196678:REL196678 ROC196678:ROH196678 RXY196678:RYD196678 SHU196678:SHZ196678 SRQ196678:SRV196678 TBM196678:TBR196678 TLI196678:TLN196678 TVE196678:TVJ196678 UFA196678:UFF196678 UOW196678:UPB196678 UYS196678:UYX196678 VIO196678:VIT196678 VSK196678:VSP196678 WCG196678:WCL196678 WMC196678:WMH196678 WVY196678:WWD196678 Q262214:V262214 JM262214:JR262214 TI262214:TN262214 ADE262214:ADJ262214 ANA262214:ANF262214 AWW262214:AXB262214 BGS262214:BGX262214 BQO262214:BQT262214 CAK262214:CAP262214 CKG262214:CKL262214 CUC262214:CUH262214 DDY262214:DED262214 DNU262214:DNZ262214 DXQ262214:DXV262214 EHM262214:EHR262214 ERI262214:ERN262214 FBE262214:FBJ262214 FLA262214:FLF262214 FUW262214:FVB262214 GES262214:GEX262214 GOO262214:GOT262214 GYK262214:GYP262214 HIG262214:HIL262214 HSC262214:HSH262214 IBY262214:ICD262214 ILU262214:ILZ262214 IVQ262214:IVV262214 JFM262214:JFR262214 JPI262214:JPN262214 JZE262214:JZJ262214 KJA262214:KJF262214 KSW262214:KTB262214 LCS262214:LCX262214 LMO262214:LMT262214 LWK262214:LWP262214 MGG262214:MGL262214 MQC262214:MQH262214 MZY262214:NAD262214 NJU262214:NJZ262214 NTQ262214:NTV262214 ODM262214:ODR262214 ONI262214:ONN262214 OXE262214:OXJ262214 PHA262214:PHF262214 PQW262214:PRB262214 QAS262214:QAX262214 QKO262214:QKT262214 QUK262214:QUP262214 REG262214:REL262214 ROC262214:ROH262214 RXY262214:RYD262214 SHU262214:SHZ262214 SRQ262214:SRV262214 TBM262214:TBR262214 TLI262214:TLN262214 TVE262214:TVJ262214 UFA262214:UFF262214 UOW262214:UPB262214 UYS262214:UYX262214 VIO262214:VIT262214 VSK262214:VSP262214 WCG262214:WCL262214 WMC262214:WMH262214 WVY262214:WWD262214 Q327750:V327750 JM327750:JR327750 TI327750:TN327750 ADE327750:ADJ327750 ANA327750:ANF327750 AWW327750:AXB327750 BGS327750:BGX327750 BQO327750:BQT327750 CAK327750:CAP327750 CKG327750:CKL327750 CUC327750:CUH327750 DDY327750:DED327750 DNU327750:DNZ327750 DXQ327750:DXV327750 EHM327750:EHR327750 ERI327750:ERN327750 FBE327750:FBJ327750 FLA327750:FLF327750 FUW327750:FVB327750 GES327750:GEX327750 GOO327750:GOT327750 GYK327750:GYP327750 HIG327750:HIL327750 HSC327750:HSH327750 IBY327750:ICD327750 ILU327750:ILZ327750 IVQ327750:IVV327750 JFM327750:JFR327750 JPI327750:JPN327750 JZE327750:JZJ327750 KJA327750:KJF327750 KSW327750:KTB327750 LCS327750:LCX327750 LMO327750:LMT327750 LWK327750:LWP327750 MGG327750:MGL327750 MQC327750:MQH327750 MZY327750:NAD327750 NJU327750:NJZ327750 NTQ327750:NTV327750 ODM327750:ODR327750 ONI327750:ONN327750 OXE327750:OXJ327750 PHA327750:PHF327750 PQW327750:PRB327750 QAS327750:QAX327750 QKO327750:QKT327750 QUK327750:QUP327750 REG327750:REL327750 ROC327750:ROH327750 RXY327750:RYD327750 SHU327750:SHZ327750 SRQ327750:SRV327750 TBM327750:TBR327750 TLI327750:TLN327750 TVE327750:TVJ327750 UFA327750:UFF327750 UOW327750:UPB327750 UYS327750:UYX327750 VIO327750:VIT327750 VSK327750:VSP327750 WCG327750:WCL327750 WMC327750:WMH327750 WVY327750:WWD327750 Q393286:V393286 JM393286:JR393286 TI393286:TN393286 ADE393286:ADJ393286 ANA393286:ANF393286 AWW393286:AXB393286 BGS393286:BGX393286 BQO393286:BQT393286 CAK393286:CAP393286 CKG393286:CKL393286 CUC393286:CUH393286 DDY393286:DED393286 DNU393286:DNZ393286 DXQ393286:DXV393286 EHM393286:EHR393286 ERI393286:ERN393286 FBE393286:FBJ393286 FLA393286:FLF393286 FUW393286:FVB393286 GES393286:GEX393286 GOO393286:GOT393286 GYK393286:GYP393286 HIG393286:HIL393286 HSC393286:HSH393286 IBY393286:ICD393286 ILU393286:ILZ393286 IVQ393286:IVV393286 JFM393286:JFR393286 JPI393286:JPN393286 JZE393286:JZJ393286 KJA393286:KJF393286 KSW393286:KTB393286 LCS393286:LCX393286 LMO393286:LMT393286 LWK393286:LWP393286 MGG393286:MGL393286 MQC393286:MQH393286 MZY393286:NAD393286 NJU393286:NJZ393286 NTQ393286:NTV393286 ODM393286:ODR393286 ONI393286:ONN393286 OXE393286:OXJ393286 PHA393286:PHF393286 PQW393286:PRB393286 QAS393286:QAX393286 QKO393286:QKT393286 QUK393286:QUP393286 REG393286:REL393286 ROC393286:ROH393286 RXY393286:RYD393286 SHU393286:SHZ393286 SRQ393286:SRV393286 TBM393286:TBR393286 TLI393286:TLN393286 TVE393286:TVJ393286 UFA393286:UFF393286 UOW393286:UPB393286 UYS393286:UYX393286 VIO393286:VIT393286 VSK393286:VSP393286 WCG393286:WCL393286 WMC393286:WMH393286 WVY393286:WWD393286 Q458822:V458822 JM458822:JR458822 TI458822:TN458822 ADE458822:ADJ458822 ANA458822:ANF458822 AWW458822:AXB458822 BGS458822:BGX458822 BQO458822:BQT458822 CAK458822:CAP458822 CKG458822:CKL458822 CUC458822:CUH458822 DDY458822:DED458822 DNU458822:DNZ458822 DXQ458822:DXV458822 EHM458822:EHR458822 ERI458822:ERN458822 FBE458822:FBJ458822 FLA458822:FLF458822 FUW458822:FVB458822 GES458822:GEX458822 GOO458822:GOT458822 GYK458822:GYP458822 HIG458822:HIL458822 HSC458822:HSH458822 IBY458822:ICD458822 ILU458822:ILZ458822 IVQ458822:IVV458822 JFM458822:JFR458822 JPI458822:JPN458822 JZE458822:JZJ458822 KJA458822:KJF458822 KSW458822:KTB458822 LCS458822:LCX458822 LMO458822:LMT458822 LWK458822:LWP458822 MGG458822:MGL458822 MQC458822:MQH458822 MZY458822:NAD458822 NJU458822:NJZ458822 NTQ458822:NTV458822 ODM458822:ODR458822 ONI458822:ONN458822 OXE458822:OXJ458822 PHA458822:PHF458822 PQW458822:PRB458822 QAS458822:QAX458822 QKO458822:QKT458822 QUK458822:QUP458822 REG458822:REL458822 ROC458822:ROH458822 RXY458822:RYD458822 SHU458822:SHZ458822 SRQ458822:SRV458822 TBM458822:TBR458822 TLI458822:TLN458822 TVE458822:TVJ458822 UFA458822:UFF458822 UOW458822:UPB458822 UYS458822:UYX458822 VIO458822:VIT458822 VSK458822:VSP458822 WCG458822:WCL458822 WMC458822:WMH458822 WVY458822:WWD458822 Q524358:V524358 JM524358:JR524358 TI524358:TN524358 ADE524358:ADJ524358 ANA524358:ANF524358 AWW524358:AXB524358 BGS524358:BGX524358 BQO524358:BQT524358 CAK524358:CAP524358 CKG524358:CKL524358 CUC524358:CUH524358 DDY524358:DED524358 DNU524358:DNZ524358 DXQ524358:DXV524358 EHM524358:EHR524358 ERI524358:ERN524358 FBE524358:FBJ524358 FLA524358:FLF524358 FUW524358:FVB524358 GES524358:GEX524358 GOO524358:GOT524358 GYK524358:GYP524358 HIG524358:HIL524358 HSC524358:HSH524358 IBY524358:ICD524358 ILU524358:ILZ524358 IVQ524358:IVV524358 JFM524358:JFR524358 JPI524358:JPN524358 JZE524358:JZJ524358 KJA524358:KJF524358 KSW524358:KTB524358 LCS524358:LCX524358 LMO524358:LMT524358 LWK524358:LWP524358 MGG524358:MGL524358 MQC524358:MQH524358 MZY524358:NAD524358 NJU524358:NJZ524358 NTQ524358:NTV524358 ODM524358:ODR524358 ONI524358:ONN524358 OXE524358:OXJ524358 PHA524358:PHF524358 PQW524358:PRB524358 QAS524358:QAX524358 QKO524358:QKT524358 QUK524358:QUP524358 REG524358:REL524358 ROC524358:ROH524358 RXY524358:RYD524358 SHU524358:SHZ524358 SRQ524358:SRV524358 TBM524358:TBR524358 TLI524358:TLN524358 TVE524358:TVJ524358 UFA524358:UFF524358 UOW524358:UPB524358 UYS524358:UYX524358 VIO524358:VIT524358 VSK524358:VSP524358 WCG524358:WCL524358 WMC524358:WMH524358 WVY524358:WWD524358 Q589894:V589894 JM589894:JR589894 TI589894:TN589894 ADE589894:ADJ589894 ANA589894:ANF589894 AWW589894:AXB589894 BGS589894:BGX589894 BQO589894:BQT589894 CAK589894:CAP589894 CKG589894:CKL589894 CUC589894:CUH589894 DDY589894:DED589894 DNU589894:DNZ589894 DXQ589894:DXV589894 EHM589894:EHR589894 ERI589894:ERN589894 FBE589894:FBJ589894 FLA589894:FLF589894 FUW589894:FVB589894 GES589894:GEX589894 GOO589894:GOT589894 GYK589894:GYP589894 HIG589894:HIL589894 HSC589894:HSH589894 IBY589894:ICD589894 ILU589894:ILZ589894 IVQ589894:IVV589894 JFM589894:JFR589894 JPI589894:JPN589894 JZE589894:JZJ589894 KJA589894:KJF589894 KSW589894:KTB589894 LCS589894:LCX589894 LMO589894:LMT589894 LWK589894:LWP589894 MGG589894:MGL589894 MQC589894:MQH589894 MZY589894:NAD589894 NJU589894:NJZ589894 NTQ589894:NTV589894 ODM589894:ODR589894 ONI589894:ONN589894 OXE589894:OXJ589894 PHA589894:PHF589894 PQW589894:PRB589894 QAS589894:QAX589894 QKO589894:QKT589894 QUK589894:QUP589894 REG589894:REL589894 ROC589894:ROH589894 RXY589894:RYD589894 SHU589894:SHZ589894 SRQ589894:SRV589894 TBM589894:TBR589894 TLI589894:TLN589894 TVE589894:TVJ589894 UFA589894:UFF589894 UOW589894:UPB589894 UYS589894:UYX589894 VIO589894:VIT589894 VSK589894:VSP589894 WCG589894:WCL589894 WMC589894:WMH589894 WVY589894:WWD589894 Q655430:V655430 JM655430:JR655430 TI655430:TN655430 ADE655430:ADJ655430 ANA655430:ANF655430 AWW655430:AXB655430 BGS655430:BGX655430 BQO655430:BQT655430 CAK655430:CAP655430 CKG655430:CKL655430 CUC655430:CUH655430 DDY655430:DED655430 DNU655430:DNZ655430 DXQ655430:DXV655430 EHM655430:EHR655430 ERI655430:ERN655430 FBE655430:FBJ655430 FLA655430:FLF655430 FUW655430:FVB655430 GES655430:GEX655430 GOO655430:GOT655430 GYK655430:GYP655430 HIG655430:HIL655430 HSC655430:HSH655430 IBY655430:ICD655430 ILU655430:ILZ655430 IVQ655430:IVV655430 JFM655430:JFR655430 JPI655430:JPN655430 JZE655430:JZJ655430 KJA655430:KJF655430 KSW655430:KTB655430 LCS655430:LCX655430 LMO655430:LMT655430 LWK655430:LWP655430 MGG655430:MGL655430 MQC655430:MQH655430 MZY655430:NAD655430 NJU655430:NJZ655430 NTQ655430:NTV655430 ODM655430:ODR655430 ONI655430:ONN655430 OXE655430:OXJ655430 PHA655430:PHF655430 PQW655430:PRB655430 QAS655430:QAX655430 QKO655430:QKT655430 QUK655430:QUP655430 REG655430:REL655430 ROC655430:ROH655430 RXY655430:RYD655430 SHU655430:SHZ655430 SRQ655430:SRV655430 TBM655430:TBR655430 TLI655430:TLN655430 TVE655430:TVJ655430 UFA655430:UFF655430 UOW655430:UPB655430 UYS655430:UYX655430 VIO655430:VIT655430 VSK655430:VSP655430 WCG655430:WCL655430 WMC655430:WMH655430 WVY655430:WWD655430 Q720966:V720966 JM720966:JR720966 TI720966:TN720966 ADE720966:ADJ720966 ANA720966:ANF720966 AWW720966:AXB720966 BGS720966:BGX720966 BQO720966:BQT720966 CAK720966:CAP720966 CKG720966:CKL720966 CUC720966:CUH720966 DDY720966:DED720966 DNU720966:DNZ720966 DXQ720966:DXV720966 EHM720966:EHR720966 ERI720966:ERN720966 FBE720966:FBJ720966 FLA720966:FLF720966 FUW720966:FVB720966 GES720966:GEX720966 GOO720966:GOT720966 GYK720966:GYP720966 HIG720966:HIL720966 HSC720966:HSH720966 IBY720966:ICD720966 ILU720966:ILZ720966 IVQ720966:IVV720966 JFM720966:JFR720966 JPI720966:JPN720966 JZE720966:JZJ720966 KJA720966:KJF720966 KSW720966:KTB720966 LCS720966:LCX720966 LMO720966:LMT720966 LWK720966:LWP720966 MGG720966:MGL720966 MQC720966:MQH720966 MZY720966:NAD720966 NJU720966:NJZ720966 NTQ720966:NTV720966 ODM720966:ODR720966 ONI720966:ONN720966 OXE720966:OXJ720966 PHA720966:PHF720966 PQW720966:PRB720966 QAS720966:QAX720966 QKO720966:QKT720966 QUK720966:QUP720966 REG720966:REL720966 ROC720966:ROH720966 RXY720966:RYD720966 SHU720966:SHZ720966 SRQ720966:SRV720966 TBM720966:TBR720966 TLI720966:TLN720966 TVE720966:TVJ720966 UFA720966:UFF720966 UOW720966:UPB720966 UYS720966:UYX720966 VIO720966:VIT720966 VSK720966:VSP720966 WCG720966:WCL720966 WMC720966:WMH720966 WVY720966:WWD720966 Q786502:V786502 JM786502:JR786502 TI786502:TN786502 ADE786502:ADJ786502 ANA786502:ANF786502 AWW786502:AXB786502 BGS786502:BGX786502 BQO786502:BQT786502 CAK786502:CAP786502 CKG786502:CKL786502 CUC786502:CUH786502 DDY786502:DED786502 DNU786502:DNZ786502 DXQ786502:DXV786502 EHM786502:EHR786502 ERI786502:ERN786502 FBE786502:FBJ786502 FLA786502:FLF786502 FUW786502:FVB786502 GES786502:GEX786502 GOO786502:GOT786502 GYK786502:GYP786502 HIG786502:HIL786502 HSC786502:HSH786502 IBY786502:ICD786502 ILU786502:ILZ786502 IVQ786502:IVV786502 JFM786502:JFR786502 JPI786502:JPN786502 JZE786502:JZJ786502 KJA786502:KJF786502 KSW786502:KTB786502 LCS786502:LCX786502 LMO786502:LMT786502 LWK786502:LWP786502 MGG786502:MGL786502 MQC786502:MQH786502 MZY786502:NAD786502 NJU786502:NJZ786502 NTQ786502:NTV786502 ODM786502:ODR786502 ONI786502:ONN786502 OXE786502:OXJ786502 PHA786502:PHF786502 PQW786502:PRB786502 QAS786502:QAX786502 QKO786502:QKT786502 QUK786502:QUP786502 REG786502:REL786502 ROC786502:ROH786502 RXY786502:RYD786502 SHU786502:SHZ786502 SRQ786502:SRV786502 TBM786502:TBR786502 TLI786502:TLN786502 TVE786502:TVJ786502 UFA786502:UFF786502 UOW786502:UPB786502 UYS786502:UYX786502 VIO786502:VIT786502 VSK786502:VSP786502 WCG786502:WCL786502 WMC786502:WMH786502 WVY786502:WWD786502 Q852038:V852038 JM852038:JR852038 TI852038:TN852038 ADE852038:ADJ852038 ANA852038:ANF852038 AWW852038:AXB852038 BGS852038:BGX852038 BQO852038:BQT852038 CAK852038:CAP852038 CKG852038:CKL852038 CUC852038:CUH852038 DDY852038:DED852038 DNU852038:DNZ852038 DXQ852038:DXV852038 EHM852038:EHR852038 ERI852038:ERN852038 FBE852038:FBJ852038 FLA852038:FLF852038 FUW852038:FVB852038 GES852038:GEX852038 GOO852038:GOT852038 GYK852038:GYP852038 HIG852038:HIL852038 HSC852038:HSH852038 IBY852038:ICD852038 ILU852038:ILZ852038 IVQ852038:IVV852038 JFM852038:JFR852038 JPI852038:JPN852038 JZE852038:JZJ852038 KJA852038:KJF852038 KSW852038:KTB852038 LCS852038:LCX852038 LMO852038:LMT852038 LWK852038:LWP852038 MGG852038:MGL852038 MQC852038:MQH852038 MZY852038:NAD852038 NJU852038:NJZ852038 NTQ852038:NTV852038 ODM852038:ODR852038 ONI852038:ONN852038 OXE852038:OXJ852038 PHA852038:PHF852038 PQW852038:PRB852038 QAS852038:QAX852038 QKO852038:QKT852038 QUK852038:QUP852038 REG852038:REL852038 ROC852038:ROH852038 RXY852038:RYD852038 SHU852038:SHZ852038 SRQ852038:SRV852038 TBM852038:TBR852038 TLI852038:TLN852038 TVE852038:TVJ852038 UFA852038:UFF852038 UOW852038:UPB852038 UYS852038:UYX852038 VIO852038:VIT852038 VSK852038:VSP852038 WCG852038:WCL852038 WMC852038:WMH852038 WVY852038:WWD852038 Q917574:V917574 JM917574:JR917574 TI917574:TN917574 ADE917574:ADJ917574 ANA917574:ANF917574 AWW917574:AXB917574 BGS917574:BGX917574 BQO917574:BQT917574 CAK917574:CAP917574 CKG917574:CKL917574 CUC917574:CUH917574 DDY917574:DED917574 DNU917574:DNZ917574 DXQ917574:DXV917574 EHM917574:EHR917574 ERI917574:ERN917574 FBE917574:FBJ917574 FLA917574:FLF917574 FUW917574:FVB917574 GES917574:GEX917574 GOO917574:GOT917574 GYK917574:GYP917574 HIG917574:HIL917574 HSC917574:HSH917574 IBY917574:ICD917574 ILU917574:ILZ917574 IVQ917574:IVV917574 JFM917574:JFR917574 JPI917574:JPN917574 JZE917574:JZJ917574 KJA917574:KJF917574 KSW917574:KTB917574 LCS917574:LCX917574 LMO917574:LMT917574 LWK917574:LWP917574 MGG917574:MGL917574 MQC917574:MQH917574 MZY917574:NAD917574 NJU917574:NJZ917574 NTQ917574:NTV917574 ODM917574:ODR917574 ONI917574:ONN917574 OXE917574:OXJ917574 PHA917574:PHF917574 PQW917574:PRB917574 QAS917574:QAX917574 QKO917574:QKT917574 QUK917574:QUP917574 REG917574:REL917574 ROC917574:ROH917574 RXY917574:RYD917574 SHU917574:SHZ917574 SRQ917574:SRV917574 TBM917574:TBR917574 TLI917574:TLN917574 TVE917574:TVJ917574 UFA917574:UFF917574 UOW917574:UPB917574 UYS917574:UYX917574 VIO917574:VIT917574 VSK917574:VSP917574 WCG917574:WCL917574 WMC917574:WMH917574 WVY917574:WWD917574 Q983110:V983110 JM983110:JR983110 TI983110:TN983110 ADE983110:ADJ983110 ANA983110:ANF983110 AWW983110:AXB983110 BGS983110:BGX983110 BQO983110:BQT983110 CAK983110:CAP983110 CKG983110:CKL983110 CUC983110:CUH983110 DDY983110:DED983110 DNU983110:DNZ983110 DXQ983110:DXV983110 EHM983110:EHR983110 ERI983110:ERN983110 FBE983110:FBJ983110 FLA983110:FLF983110 FUW983110:FVB983110 GES983110:GEX983110 GOO983110:GOT983110 GYK983110:GYP983110 HIG983110:HIL983110 HSC983110:HSH983110 IBY983110:ICD983110 ILU983110:ILZ983110 IVQ983110:IVV983110 JFM983110:JFR983110 JPI983110:JPN983110 JZE983110:JZJ983110 KJA983110:KJF983110 KSW983110:KTB983110 LCS983110:LCX983110 LMO983110:LMT983110 LWK983110:LWP983110 MGG983110:MGL983110 MQC983110:MQH983110 MZY983110:NAD983110 NJU983110:NJZ983110 NTQ983110:NTV983110 ODM983110:ODR983110 ONI983110:ONN983110 OXE983110:OXJ983110 PHA983110:PHF983110 PQW983110:PRB983110 QAS983110:QAX983110 QKO983110:QKT983110 QUK983110:QUP983110 REG983110:REL983110 ROC983110:ROH983110 RXY983110:RYD983110 SHU983110:SHZ983110 SRQ983110:SRV983110 TBM983110:TBR983110 TLI983110:TLN983110 TVE983110:TVJ983110 UFA983110:UFF983110 UOW983110:UPB983110 UYS983110:UYX983110 VIO983110:VIT983110 VSK983110:VSP983110 WCG983110:WCL983110 WMC983110:WMH983110 WVY983110:WWD983110 R72:V72 JN72:JR72 TJ72:TN72 ADF72:ADJ72 ANB72:ANF72 AWX72:AXB72 BGT72:BGX72 BQP72:BQT72 CAL72:CAP72 CKH72:CKL72 CUD72:CUH72 DDZ72:DED72 DNV72:DNZ72 DXR72:DXV72 EHN72:EHR72 ERJ72:ERN72 FBF72:FBJ72 FLB72:FLF72 FUX72:FVB72 GET72:GEX72 GOP72:GOT72 GYL72:GYP72 HIH72:HIL72 HSD72:HSH72 IBZ72:ICD72 ILV72:ILZ72 IVR72:IVV72 JFN72:JFR72 JPJ72:JPN72 JZF72:JZJ72 KJB72:KJF72 KSX72:KTB72 LCT72:LCX72 LMP72:LMT72 LWL72:LWP72 MGH72:MGL72 MQD72:MQH72 MZZ72:NAD72 NJV72:NJZ72 NTR72:NTV72 ODN72:ODR72 ONJ72:ONN72 OXF72:OXJ72 PHB72:PHF72 PQX72:PRB72 QAT72:QAX72 QKP72:QKT72 QUL72:QUP72 REH72:REL72 ROD72:ROH72 RXZ72:RYD72 SHV72:SHZ72 SRR72:SRV72 TBN72:TBR72 TLJ72:TLN72 TVF72:TVJ72 UFB72:UFF72 UOX72:UPB72 UYT72:UYX72 VIP72:VIT72 VSL72:VSP72 WCH72:WCL72 WMD72:WMH72 WVZ72:WWD72 R65608:V65608 JN65608:JR65608 TJ65608:TN65608 ADF65608:ADJ65608 ANB65608:ANF65608 AWX65608:AXB65608 BGT65608:BGX65608 BQP65608:BQT65608 CAL65608:CAP65608 CKH65608:CKL65608 CUD65608:CUH65608 DDZ65608:DED65608 DNV65608:DNZ65608 DXR65608:DXV65608 EHN65608:EHR65608 ERJ65608:ERN65608 FBF65608:FBJ65608 FLB65608:FLF65608 FUX65608:FVB65608 GET65608:GEX65608 GOP65608:GOT65608 GYL65608:GYP65608 HIH65608:HIL65608 HSD65608:HSH65608 IBZ65608:ICD65608 ILV65608:ILZ65608 IVR65608:IVV65608 JFN65608:JFR65608 JPJ65608:JPN65608 JZF65608:JZJ65608 KJB65608:KJF65608 KSX65608:KTB65608 LCT65608:LCX65608 LMP65608:LMT65608 LWL65608:LWP65608 MGH65608:MGL65608 MQD65608:MQH65608 MZZ65608:NAD65608 NJV65608:NJZ65608 NTR65608:NTV65608 ODN65608:ODR65608 ONJ65608:ONN65608 OXF65608:OXJ65608 PHB65608:PHF65608 PQX65608:PRB65608 QAT65608:QAX65608 QKP65608:QKT65608 QUL65608:QUP65608 REH65608:REL65608 ROD65608:ROH65608 RXZ65608:RYD65608 SHV65608:SHZ65608 SRR65608:SRV65608 TBN65608:TBR65608 TLJ65608:TLN65608 TVF65608:TVJ65608 UFB65608:UFF65608 UOX65608:UPB65608 UYT65608:UYX65608 VIP65608:VIT65608 VSL65608:VSP65608 WCH65608:WCL65608 WMD65608:WMH65608 WVZ65608:WWD65608 R131144:V131144 JN131144:JR131144 TJ131144:TN131144 ADF131144:ADJ131144 ANB131144:ANF131144 AWX131144:AXB131144 BGT131144:BGX131144 BQP131144:BQT131144 CAL131144:CAP131144 CKH131144:CKL131144 CUD131144:CUH131144 DDZ131144:DED131144 DNV131144:DNZ131144 DXR131144:DXV131144 EHN131144:EHR131144 ERJ131144:ERN131144 FBF131144:FBJ131144 FLB131144:FLF131144 FUX131144:FVB131144 GET131144:GEX131144 GOP131144:GOT131144 GYL131144:GYP131144 HIH131144:HIL131144 HSD131144:HSH131144 IBZ131144:ICD131144 ILV131144:ILZ131144 IVR131144:IVV131144 JFN131144:JFR131144 JPJ131144:JPN131144 JZF131144:JZJ131144 KJB131144:KJF131144 KSX131144:KTB131144 LCT131144:LCX131144 LMP131144:LMT131144 LWL131144:LWP131144 MGH131144:MGL131144 MQD131144:MQH131144 MZZ131144:NAD131144 NJV131144:NJZ131144 NTR131144:NTV131144 ODN131144:ODR131144 ONJ131144:ONN131144 OXF131144:OXJ131144 PHB131144:PHF131144 PQX131144:PRB131144 QAT131144:QAX131144 QKP131144:QKT131144 QUL131144:QUP131144 REH131144:REL131144 ROD131144:ROH131144 RXZ131144:RYD131144 SHV131144:SHZ131144 SRR131144:SRV131144 TBN131144:TBR131144 TLJ131144:TLN131144 TVF131144:TVJ131144 UFB131144:UFF131144 UOX131144:UPB131144 UYT131144:UYX131144 VIP131144:VIT131144 VSL131144:VSP131144 WCH131144:WCL131144 WMD131144:WMH131144 WVZ131144:WWD131144 R196680:V196680 JN196680:JR196680 TJ196680:TN196680 ADF196680:ADJ196680 ANB196680:ANF196680 AWX196680:AXB196680 BGT196680:BGX196680 BQP196680:BQT196680 CAL196680:CAP196680 CKH196680:CKL196680 CUD196680:CUH196680 DDZ196680:DED196680 DNV196680:DNZ196680 DXR196680:DXV196680 EHN196680:EHR196680 ERJ196680:ERN196680 FBF196680:FBJ196680 FLB196680:FLF196680 FUX196680:FVB196680 GET196680:GEX196680 GOP196680:GOT196680 GYL196680:GYP196680 HIH196680:HIL196680 HSD196680:HSH196680 IBZ196680:ICD196680 ILV196680:ILZ196680 IVR196680:IVV196680 JFN196680:JFR196680 JPJ196680:JPN196680 JZF196680:JZJ196680 KJB196680:KJF196680 KSX196680:KTB196680 LCT196680:LCX196680 LMP196680:LMT196680 LWL196680:LWP196680 MGH196680:MGL196680 MQD196680:MQH196680 MZZ196680:NAD196680 NJV196680:NJZ196680 NTR196680:NTV196680 ODN196680:ODR196680 ONJ196680:ONN196680 OXF196680:OXJ196680 PHB196680:PHF196680 PQX196680:PRB196680 QAT196680:QAX196680 QKP196680:QKT196680 QUL196680:QUP196680 REH196680:REL196680 ROD196680:ROH196680 RXZ196680:RYD196680 SHV196680:SHZ196680 SRR196680:SRV196680 TBN196680:TBR196680 TLJ196680:TLN196680 TVF196680:TVJ196680 UFB196680:UFF196680 UOX196680:UPB196680 UYT196680:UYX196680 VIP196680:VIT196680 VSL196680:VSP196680 WCH196680:WCL196680 WMD196680:WMH196680 WVZ196680:WWD196680 R262216:V262216 JN262216:JR262216 TJ262216:TN262216 ADF262216:ADJ262216 ANB262216:ANF262216 AWX262216:AXB262216 BGT262216:BGX262216 BQP262216:BQT262216 CAL262216:CAP262216 CKH262216:CKL262216 CUD262216:CUH262216 DDZ262216:DED262216 DNV262216:DNZ262216 DXR262216:DXV262216 EHN262216:EHR262216 ERJ262216:ERN262216 FBF262216:FBJ262216 FLB262216:FLF262216 FUX262216:FVB262216 GET262216:GEX262216 GOP262216:GOT262216 GYL262216:GYP262216 HIH262216:HIL262216 HSD262216:HSH262216 IBZ262216:ICD262216 ILV262216:ILZ262216 IVR262216:IVV262216 JFN262216:JFR262216 JPJ262216:JPN262216 JZF262216:JZJ262216 KJB262216:KJF262216 KSX262216:KTB262216 LCT262216:LCX262216 LMP262216:LMT262216 LWL262216:LWP262216 MGH262216:MGL262216 MQD262216:MQH262216 MZZ262216:NAD262216 NJV262216:NJZ262216 NTR262216:NTV262216 ODN262216:ODR262216 ONJ262216:ONN262216 OXF262216:OXJ262216 PHB262216:PHF262216 PQX262216:PRB262216 QAT262216:QAX262216 QKP262216:QKT262216 QUL262216:QUP262216 REH262216:REL262216 ROD262216:ROH262216 RXZ262216:RYD262216 SHV262216:SHZ262216 SRR262216:SRV262216 TBN262216:TBR262216 TLJ262216:TLN262216 TVF262216:TVJ262216 UFB262216:UFF262216 UOX262216:UPB262216 UYT262216:UYX262216 VIP262216:VIT262216 VSL262216:VSP262216 WCH262216:WCL262216 WMD262216:WMH262216 WVZ262216:WWD262216 R327752:V327752 JN327752:JR327752 TJ327752:TN327752 ADF327752:ADJ327752 ANB327752:ANF327752 AWX327752:AXB327752 BGT327752:BGX327752 BQP327752:BQT327752 CAL327752:CAP327752 CKH327752:CKL327752 CUD327752:CUH327752 DDZ327752:DED327752 DNV327752:DNZ327752 DXR327752:DXV327752 EHN327752:EHR327752 ERJ327752:ERN327752 FBF327752:FBJ327752 FLB327752:FLF327752 FUX327752:FVB327752 GET327752:GEX327752 GOP327752:GOT327752 GYL327752:GYP327752 HIH327752:HIL327752 HSD327752:HSH327752 IBZ327752:ICD327752 ILV327752:ILZ327752 IVR327752:IVV327752 JFN327752:JFR327752 JPJ327752:JPN327752 JZF327752:JZJ327752 KJB327752:KJF327752 KSX327752:KTB327752 LCT327752:LCX327752 LMP327752:LMT327752 LWL327752:LWP327752 MGH327752:MGL327752 MQD327752:MQH327752 MZZ327752:NAD327752 NJV327752:NJZ327752 NTR327752:NTV327752 ODN327752:ODR327752 ONJ327752:ONN327752 OXF327752:OXJ327752 PHB327752:PHF327752 PQX327752:PRB327752 QAT327752:QAX327752 QKP327752:QKT327752 QUL327752:QUP327752 REH327752:REL327752 ROD327752:ROH327752 RXZ327752:RYD327752 SHV327752:SHZ327752 SRR327752:SRV327752 TBN327752:TBR327752 TLJ327752:TLN327752 TVF327752:TVJ327752 UFB327752:UFF327752 UOX327752:UPB327752 UYT327752:UYX327752 VIP327752:VIT327752 VSL327752:VSP327752 WCH327752:WCL327752 WMD327752:WMH327752 WVZ327752:WWD327752 R393288:V393288 JN393288:JR393288 TJ393288:TN393288 ADF393288:ADJ393288 ANB393288:ANF393288 AWX393288:AXB393288 BGT393288:BGX393288 BQP393288:BQT393288 CAL393288:CAP393288 CKH393288:CKL393288 CUD393288:CUH393288 DDZ393288:DED393288 DNV393288:DNZ393288 DXR393288:DXV393288 EHN393288:EHR393288 ERJ393288:ERN393288 FBF393288:FBJ393288 FLB393288:FLF393288 FUX393288:FVB393288 GET393288:GEX393288 GOP393288:GOT393288 GYL393288:GYP393288 HIH393288:HIL393288 HSD393288:HSH393288 IBZ393288:ICD393288 ILV393288:ILZ393288 IVR393288:IVV393288 JFN393288:JFR393288 JPJ393288:JPN393288 JZF393288:JZJ393288 KJB393288:KJF393288 KSX393288:KTB393288 LCT393288:LCX393288 LMP393288:LMT393288 LWL393288:LWP393288 MGH393288:MGL393288 MQD393288:MQH393288 MZZ393288:NAD393288 NJV393288:NJZ393288 NTR393288:NTV393288 ODN393288:ODR393288 ONJ393288:ONN393288 OXF393288:OXJ393288 PHB393288:PHF393288 PQX393288:PRB393288 QAT393288:QAX393288 QKP393288:QKT393288 QUL393288:QUP393288 REH393288:REL393288 ROD393288:ROH393288 RXZ393288:RYD393288 SHV393288:SHZ393288 SRR393288:SRV393288 TBN393288:TBR393288 TLJ393288:TLN393288 TVF393288:TVJ393288 UFB393288:UFF393288 UOX393288:UPB393288 UYT393288:UYX393288 VIP393288:VIT393288 VSL393288:VSP393288 WCH393288:WCL393288 WMD393288:WMH393288 WVZ393288:WWD393288 R458824:V458824 JN458824:JR458824 TJ458824:TN458824 ADF458824:ADJ458824 ANB458824:ANF458824 AWX458824:AXB458824 BGT458824:BGX458824 BQP458824:BQT458824 CAL458824:CAP458824 CKH458824:CKL458824 CUD458824:CUH458824 DDZ458824:DED458824 DNV458824:DNZ458824 DXR458824:DXV458824 EHN458824:EHR458824 ERJ458824:ERN458824 FBF458824:FBJ458824 FLB458824:FLF458824 FUX458824:FVB458824 GET458824:GEX458824 GOP458824:GOT458824 GYL458824:GYP458824 HIH458824:HIL458824 HSD458824:HSH458824 IBZ458824:ICD458824 ILV458824:ILZ458824 IVR458824:IVV458824 JFN458824:JFR458824 JPJ458824:JPN458824 JZF458824:JZJ458824 KJB458824:KJF458824 KSX458824:KTB458824 LCT458824:LCX458824 LMP458824:LMT458824 LWL458824:LWP458824 MGH458824:MGL458824 MQD458824:MQH458824 MZZ458824:NAD458824 NJV458824:NJZ458824 NTR458824:NTV458824 ODN458824:ODR458824 ONJ458824:ONN458824 OXF458824:OXJ458824 PHB458824:PHF458824 PQX458824:PRB458824 QAT458824:QAX458824 QKP458824:QKT458824 QUL458824:QUP458824 REH458824:REL458824 ROD458824:ROH458824 RXZ458824:RYD458824 SHV458824:SHZ458824 SRR458824:SRV458824 TBN458824:TBR458824 TLJ458824:TLN458824 TVF458824:TVJ458824 UFB458824:UFF458824 UOX458824:UPB458824 UYT458824:UYX458824 VIP458824:VIT458824 VSL458824:VSP458824 WCH458824:WCL458824 WMD458824:WMH458824 WVZ458824:WWD458824 R524360:V524360 JN524360:JR524360 TJ524360:TN524360 ADF524360:ADJ524360 ANB524360:ANF524360 AWX524360:AXB524360 BGT524360:BGX524360 BQP524360:BQT524360 CAL524360:CAP524360 CKH524360:CKL524360 CUD524360:CUH524360 DDZ524360:DED524360 DNV524360:DNZ524360 DXR524360:DXV524360 EHN524360:EHR524360 ERJ524360:ERN524360 FBF524360:FBJ524360 FLB524360:FLF524360 FUX524360:FVB524360 GET524360:GEX524360 GOP524360:GOT524360 GYL524360:GYP524360 HIH524360:HIL524360 HSD524360:HSH524360 IBZ524360:ICD524360 ILV524360:ILZ524360 IVR524360:IVV524360 JFN524360:JFR524360 JPJ524360:JPN524360 JZF524360:JZJ524360 KJB524360:KJF524360 KSX524360:KTB524360 LCT524360:LCX524360 LMP524360:LMT524360 LWL524360:LWP524360 MGH524360:MGL524360 MQD524360:MQH524360 MZZ524360:NAD524360 NJV524360:NJZ524360 NTR524360:NTV524360 ODN524360:ODR524360 ONJ524360:ONN524360 OXF524360:OXJ524360 PHB524360:PHF524360 PQX524360:PRB524360 QAT524360:QAX524360 QKP524360:QKT524360 QUL524360:QUP524360 REH524360:REL524360 ROD524360:ROH524360 RXZ524360:RYD524360 SHV524360:SHZ524360 SRR524360:SRV524360 TBN524360:TBR524360 TLJ524360:TLN524360 TVF524360:TVJ524360 UFB524360:UFF524360 UOX524360:UPB524360 UYT524360:UYX524360 VIP524360:VIT524360 VSL524360:VSP524360 WCH524360:WCL524360 WMD524360:WMH524360 WVZ524360:WWD524360 R589896:V589896 JN589896:JR589896 TJ589896:TN589896 ADF589896:ADJ589896 ANB589896:ANF589896 AWX589896:AXB589896 BGT589896:BGX589896 BQP589896:BQT589896 CAL589896:CAP589896 CKH589896:CKL589896 CUD589896:CUH589896 DDZ589896:DED589896 DNV589896:DNZ589896 DXR589896:DXV589896 EHN589896:EHR589896 ERJ589896:ERN589896 FBF589896:FBJ589896 FLB589896:FLF589896 FUX589896:FVB589896 GET589896:GEX589896 GOP589896:GOT589896 GYL589896:GYP589896 HIH589896:HIL589896 HSD589896:HSH589896 IBZ589896:ICD589896 ILV589896:ILZ589896 IVR589896:IVV589896 JFN589896:JFR589896 JPJ589896:JPN589896 JZF589896:JZJ589896 KJB589896:KJF589896 KSX589896:KTB589896 LCT589896:LCX589896 LMP589896:LMT589896 LWL589896:LWP589896 MGH589896:MGL589896 MQD589896:MQH589896 MZZ589896:NAD589896 NJV589896:NJZ589896 NTR589896:NTV589896 ODN589896:ODR589896 ONJ589896:ONN589896 OXF589896:OXJ589896 PHB589896:PHF589896 PQX589896:PRB589896 QAT589896:QAX589896 QKP589896:QKT589896 QUL589896:QUP589896 REH589896:REL589896 ROD589896:ROH589896 RXZ589896:RYD589896 SHV589896:SHZ589896 SRR589896:SRV589896 TBN589896:TBR589896 TLJ589896:TLN589896 TVF589896:TVJ589896 UFB589896:UFF589896 UOX589896:UPB589896 UYT589896:UYX589896 VIP589896:VIT589896 VSL589896:VSP589896 WCH589896:WCL589896 WMD589896:WMH589896 WVZ589896:WWD589896 R655432:V655432 JN655432:JR655432 TJ655432:TN655432 ADF655432:ADJ655432 ANB655432:ANF655432 AWX655432:AXB655432 BGT655432:BGX655432 BQP655432:BQT655432 CAL655432:CAP655432 CKH655432:CKL655432 CUD655432:CUH655432 DDZ655432:DED655432 DNV655432:DNZ655432 DXR655432:DXV655432 EHN655432:EHR655432 ERJ655432:ERN655432 FBF655432:FBJ655432 FLB655432:FLF655432 FUX655432:FVB655432 GET655432:GEX655432 GOP655432:GOT655432 GYL655432:GYP655432 HIH655432:HIL655432 HSD655432:HSH655432 IBZ655432:ICD655432 ILV655432:ILZ655432 IVR655432:IVV655432 JFN655432:JFR655432 JPJ655432:JPN655432 JZF655432:JZJ655432 KJB655432:KJF655432 KSX655432:KTB655432 LCT655432:LCX655432 LMP655432:LMT655432 LWL655432:LWP655432 MGH655432:MGL655432 MQD655432:MQH655432 MZZ655432:NAD655432 NJV655432:NJZ655432 NTR655432:NTV655432 ODN655432:ODR655432 ONJ655432:ONN655432 OXF655432:OXJ655432 PHB655432:PHF655432 PQX655432:PRB655432 QAT655432:QAX655432 QKP655432:QKT655432 QUL655432:QUP655432 REH655432:REL655432 ROD655432:ROH655432 RXZ655432:RYD655432 SHV655432:SHZ655432 SRR655432:SRV655432 TBN655432:TBR655432 TLJ655432:TLN655432 TVF655432:TVJ655432 UFB655432:UFF655432 UOX655432:UPB655432 UYT655432:UYX655432 VIP655432:VIT655432 VSL655432:VSP655432 WCH655432:WCL655432 WMD655432:WMH655432 WVZ655432:WWD655432 R720968:V720968 JN720968:JR720968 TJ720968:TN720968 ADF720968:ADJ720968 ANB720968:ANF720968 AWX720968:AXB720968 BGT720968:BGX720968 BQP720968:BQT720968 CAL720968:CAP720968 CKH720968:CKL720968 CUD720968:CUH720968 DDZ720968:DED720968 DNV720968:DNZ720968 DXR720968:DXV720968 EHN720968:EHR720968 ERJ720968:ERN720968 FBF720968:FBJ720968 FLB720968:FLF720968 FUX720968:FVB720968 GET720968:GEX720968 GOP720968:GOT720968 GYL720968:GYP720968 HIH720968:HIL720968 HSD720968:HSH720968 IBZ720968:ICD720968 ILV720968:ILZ720968 IVR720968:IVV720968 JFN720968:JFR720968 JPJ720968:JPN720968 JZF720968:JZJ720968 KJB720968:KJF720968 KSX720968:KTB720968 LCT720968:LCX720968 LMP720968:LMT720968 LWL720968:LWP720968 MGH720968:MGL720968 MQD720968:MQH720968 MZZ720968:NAD720968 NJV720968:NJZ720968 NTR720968:NTV720968 ODN720968:ODR720968 ONJ720968:ONN720968 OXF720968:OXJ720968 PHB720968:PHF720968 PQX720968:PRB720968 QAT720968:QAX720968 QKP720968:QKT720968 QUL720968:QUP720968 REH720968:REL720968 ROD720968:ROH720968 RXZ720968:RYD720968 SHV720968:SHZ720968 SRR720968:SRV720968 TBN720968:TBR720968 TLJ720968:TLN720968 TVF720968:TVJ720968 UFB720968:UFF720968 UOX720968:UPB720968 UYT720968:UYX720968 VIP720968:VIT720968 VSL720968:VSP720968 WCH720968:WCL720968 WMD720968:WMH720968 WVZ720968:WWD720968 R786504:V786504 JN786504:JR786504 TJ786504:TN786504 ADF786504:ADJ786504 ANB786504:ANF786504 AWX786504:AXB786504 BGT786504:BGX786504 BQP786504:BQT786504 CAL786504:CAP786504 CKH786504:CKL786504 CUD786504:CUH786504 DDZ786504:DED786504 DNV786504:DNZ786504 DXR786504:DXV786504 EHN786504:EHR786504 ERJ786504:ERN786504 FBF786504:FBJ786504 FLB786504:FLF786504 FUX786504:FVB786504 GET786504:GEX786504 GOP786504:GOT786504 GYL786504:GYP786504 HIH786504:HIL786504 HSD786504:HSH786504 IBZ786504:ICD786504 ILV786504:ILZ786504 IVR786504:IVV786504 JFN786504:JFR786504 JPJ786504:JPN786504 JZF786504:JZJ786504 KJB786504:KJF786504 KSX786504:KTB786504 LCT786504:LCX786504 LMP786504:LMT786504 LWL786504:LWP786504 MGH786504:MGL786504 MQD786504:MQH786504 MZZ786504:NAD786504 NJV786504:NJZ786504 NTR786504:NTV786504 ODN786504:ODR786504 ONJ786504:ONN786504 OXF786504:OXJ786504 PHB786504:PHF786504 PQX786504:PRB786504 QAT786504:QAX786504 QKP786504:QKT786504 QUL786504:QUP786504 REH786504:REL786504 ROD786504:ROH786504 RXZ786504:RYD786504 SHV786504:SHZ786504 SRR786504:SRV786504 TBN786504:TBR786504 TLJ786504:TLN786504 TVF786504:TVJ786504 UFB786504:UFF786504 UOX786504:UPB786504 UYT786504:UYX786504 VIP786504:VIT786504 VSL786504:VSP786504 WCH786504:WCL786504 WMD786504:WMH786504 WVZ786504:WWD786504 R852040:V852040 JN852040:JR852040 TJ852040:TN852040 ADF852040:ADJ852040 ANB852040:ANF852040 AWX852040:AXB852040 BGT852040:BGX852040 BQP852040:BQT852040 CAL852040:CAP852040 CKH852040:CKL852040 CUD852040:CUH852040 DDZ852040:DED852040 DNV852040:DNZ852040 DXR852040:DXV852040 EHN852040:EHR852040 ERJ852040:ERN852040 FBF852040:FBJ852040 FLB852040:FLF852040 FUX852040:FVB852040 GET852040:GEX852040 GOP852040:GOT852040 GYL852040:GYP852040 HIH852040:HIL852040 HSD852040:HSH852040 IBZ852040:ICD852040 ILV852040:ILZ852040 IVR852040:IVV852040 JFN852040:JFR852040 JPJ852040:JPN852040 JZF852040:JZJ852040 KJB852040:KJF852040 KSX852040:KTB852040 LCT852040:LCX852040 LMP852040:LMT852040 LWL852040:LWP852040 MGH852040:MGL852040 MQD852040:MQH852040 MZZ852040:NAD852040 NJV852040:NJZ852040 NTR852040:NTV852040 ODN852040:ODR852040 ONJ852040:ONN852040 OXF852040:OXJ852040 PHB852040:PHF852040 PQX852040:PRB852040 QAT852040:QAX852040 QKP852040:QKT852040 QUL852040:QUP852040 REH852040:REL852040 ROD852040:ROH852040 RXZ852040:RYD852040 SHV852040:SHZ852040 SRR852040:SRV852040 TBN852040:TBR852040 TLJ852040:TLN852040 TVF852040:TVJ852040 UFB852040:UFF852040 UOX852040:UPB852040 UYT852040:UYX852040 VIP852040:VIT852040 VSL852040:VSP852040 WCH852040:WCL852040 WMD852040:WMH852040 WVZ852040:WWD852040 R917576:V917576 JN917576:JR917576 TJ917576:TN917576 ADF917576:ADJ917576 ANB917576:ANF917576 AWX917576:AXB917576 BGT917576:BGX917576 BQP917576:BQT917576 CAL917576:CAP917576 CKH917576:CKL917576 CUD917576:CUH917576 DDZ917576:DED917576 DNV917576:DNZ917576 DXR917576:DXV917576 EHN917576:EHR917576 ERJ917576:ERN917576 FBF917576:FBJ917576 FLB917576:FLF917576 FUX917576:FVB917576 GET917576:GEX917576 GOP917576:GOT917576 GYL917576:GYP917576 HIH917576:HIL917576 HSD917576:HSH917576 IBZ917576:ICD917576 ILV917576:ILZ917576 IVR917576:IVV917576 JFN917576:JFR917576 JPJ917576:JPN917576 JZF917576:JZJ917576 KJB917576:KJF917576 KSX917576:KTB917576 LCT917576:LCX917576 LMP917576:LMT917576 LWL917576:LWP917576 MGH917576:MGL917576 MQD917576:MQH917576 MZZ917576:NAD917576 NJV917576:NJZ917576 NTR917576:NTV917576 ODN917576:ODR917576 ONJ917576:ONN917576 OXF917576:OXJ917576 PHB917576:PHF917576 PQX917576:PRB917576 QAT917576:QAX917576 QKP917576:QKT917576 QUL917576:QUP917576 REH917576:REL917576 ROD917576:ROH917576 RXZ917576:RYD917576 SHV917576:SHZ917576 SRR917576:SRV917576 TBN917576:TBR917576 TLJ917576:TLN917576 TVF917576:TVJ917576 UFB917576:UFF917576 UOX917576:UPB917576 UYT917576:UYX917576 VIP917576:VIT917576 VSL917576:VSP917576 WCH917576:WCL917576 WMD917576:WMH917576 WVZ917576:WWD917576 R983112:V983112 JN983112:JR983112 TJ983112:TN983112 ADF983112:ADJ983112 ANB983112:ANF983112 AWX983112:AXB983112 BGT983112:BGX983112 BQP983112:BQT983112 CAL983112:CAP983112 CKH983112:CKL983112 CUD983112:CUH983112 DDZ983112:DED983112 DNV983112:DNZ983112 DXR983112:DXV983112 EHN983112:EHR983112 ERJ983112:ERN983112 FBF983112:FBJ983112 FLB983112:FLF983112 FUX983112:FVB983112 GET983112:GEX983112 GOP983112:GOT983112 GYL983112:GYP983112 HIH983112:HIL983112 HSD983112:HSH983112 IBZ983112:ICD983112 ILV983112:ILZ983112 IVR983112:IVV983112 JFN983112:JFR983112 JPJ983112:JPN983112 JZF983112:JZJ983112 KJB983112:KJF983112 KSX983112:KTB983112 LCT983112:LCX983112 LMP983112:LMT983112 LWL983112:LWP983112 MGH983112:MGL983112 MQD983112:MQH983112 MZZ983112:NAD983112 NJV983112:NJZ983112 NTR983112:NTV983112 ODN983112:ODR983112 ONJ983112:ONN983112 OXF983112:OXJ983112 PHB983112:PHF983112 PQX983112:PRB983112 QAT983112:QAX983112 QKP983112:QKT983112 QUL983112:QUP983112 REH983112:REL983112 ROD983112:ROH983112 RXZ983112:RYD983112 SHV983112:SHZ983112 SRR983112:SRV983112 TBN983112:TBR983112 TLJ983112:TLN983112 TVF983112:TVJ983112 UFB983112:UFF983112 UOX983112:UPB983112 UYT983112:UYX983112 VIP983112:VIT983112 VSL983112:VSP983112 WCH983112:WCL983112 WMD983112:WMH983112 WVZ983112:WWD983112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G88:W88 JC88:JS88 SY88:TO88 ACU88:ADK88 AMQ88:ANG88 AWM88:AXC88 BGI88:BGY88 BQE88:BQU88 CAA88:CAQ88 CJW88:CKM88 CTS88:CUI88 DDO88:DEE88 DNK88:DOA88 DXG88:DXW88 EHC88:EHS88 EQY88:ERO88 FAU88:FBK88 FKQ88:FLG88 FUM88:FVC88 GEI88:GEY88 GOE88:GOU88 GYA88:GYQ88 HHW88:HIM88 HRS88:HSI88 IBO88:ICE88 ILK88:IMA88 IVG88:IVW88 JFC88:JFS88 JOY88:JPO88 JYU88:JZK88 KIQ88:KJG88 KSM88:KTC88 LCI88:LCY88 LME88:LMU88 LWA88:LWQ88 MFW88:MGM88 MPS88:MQI88 MZO88:NAE88 NJK88:NKA88 NTG88:NTW88 ODC88:ODS88 OMY88:ONO88 OWU88:OXK88 PGQ88:PHG88 PQM88:PRC88 QAI88:QAY88 QKE88:QKU88 QUA88:QUQ88 RDW88:REM88 RNS88:ROI88 RXO88:RYE88 SHK88:SIA88 SRG88:SRW88 TBC88:TBS88 TKY88:TLO88 TUU88:TVK88 UEQ88:UFG88 UOM88:UPC88 UYI88:UYY88 VIE88:VIU88 VSA88:VSQ88 WBW88:WCM88 WLS88:WMI88 WVO88:WWE88 G65624:W65624 JC65624:JS65624 SY65624:TO65624 ACU65624:ADK65624 AMQ65624:ANG65624 AWM65624:AXC65624 BGI65624:BGY65624 BQE65624:BQU65624 CAA65624:CAQ65624 CJW65624:CKM65624 CTS65624:CUI65624 DDO65624:DEE65624 DNK65624:DOA65624 DXG65624:DXW65624 EHC65624:EHS65624 EQY65624:ERO65624 FAU65624:FBK65624 FKQ65624:FLG65624 FUM65624:FVC65624 GEI65624:GEY65624 GOE65624:GOU65624 GYA65624:GYQ65624 HHW65624:HIM65624 HRS65624:HSI65624 IBO65624:ICE65624 ILK65624:IMA65624 IVG65624:IVW65624 JFC65624:JFS65624 JOY65624:JPO65624 JYU65624:JZK65624 KIQ65624:KJG65624 KSM65624:KTC65624 LCI65624:LCY65624 LME65624:LMU65624 LWA65624:LWQ65624 MFW65624:MGM65624 MPS65624:MQI65624 MZO65624:NAE65624 NJK65624:NKA65624 NTG65624:NTW65624 ODC65624:ODS65624 OMY65624:ONO65624 OWU65624:OXK65624 PGQ65624:PHG65624 PQM65624:PRC65624 QAI65624:QAY65624 QKE65624:QKU65624 QUA65624:QUQ65624 RDW65624:REM65624 RNS65624:ROI65624 RXO65624:RYE65624 SHK65624:SIA65624 SRG65624:SRW65624 TBC65624:TBS65624 TKY65624:TLO65624 TUU65624:TVK65624 UEQ65624:UFG65624 UOM65624:UPC65624 UYI65624:UYY65624 VIE65624:VIU65624 VSA65624:VSQ65624 WBW65624:WCM65624 WLS65624:WMI65624 WVO65624:WWE65624 G131160:W131160 JC131160:JS131160 SY131160:TO131160 ACU131160:ADK131160 AMQ131160:ANG131160 AWM131160:AXC131160 BGI131160:BGY131160 BQE131160:BQU131160 CAA131160:CAQ131160 CJW131160:CKM131160 CTS131160:CUI131160 DDO131160:DEE131160 DNK131160:DOA131160 DXG131160:DXW131160 EHC131160:EHS131160 EQY131160:ERO131160 FAU131160:FBK131160 FKQ131160:FLG131160 FUM131160:FVC131160 GEI131160:GEY131160 GOE131160:GOU131160 GYA131160:GYQ131160 HHW131160:HIM131160 HRS131160:HSI131160 IBO131160:ICE131160 ILK131160:IMA131160 IVG131160:IVW131160 JFC131160:JFS131160 JOY131160:JPO131160 JYU131160:JZK131160 KIQ131160:KJG131160 KSM131160:KTC131160 LCI131160:LCY131160 LME131160:LMU131160 LWA131160:LWQ131160 MFW131160:MGM131160 MPS131160:MQI131160 MZO131160:NAE131160 NJK131160:NKA131160 NTG131160:NTW131160 ODC131160:ODS131160 OMY131160:ONO131160 OWU131160:OXK131160 PGQ131160:PHG131160 PQM131160:PRC131160 QAI131160:QAY131160 QKE131160:QKU131160 QUA131160:QUQ131160 RDW131160:REM131160 RNS131160:ROI131160 RXO131160:RYE131160 SHK131160:SIA131160 SRG131160:SRW131160 TBC131160:TBS131160 TKY131160:TLO131160 TUU131160:TVK131160 UEQ131160:UFG131160 UOM131160:UPC131160 UYI131160:UYY131160 VIE131160:VIU131160 VSA131160:VSQ131160 WBW131160:WCM131160 WLS131160:WMI131160 WVO131160:WWE131160 G196696:W196696 JC196696:JS196696 SY196696:TO196696 ACU196696:ADK196696 AMQ196696:ANG196696 AWM196696:AXC196696 BGI196696:BGY196696 BQE196696:BQU196696 CAA196696:CAQ196696 CJW196696:CKM196696 CTS196696:CUI196696 DDO196696:DEE196696 DNK196696:DOA196696 DXG196696:DXW196696 EHC196696:EHS196696 EQY196696:ERO196696 FAU196696:FBK196696 FKQ196696:FLG196696 FUM196696:FVC196696 GEI196696:GEY196696 GOE196696:GOU196696 GYA196696:GYQ196696 HHW196696:HIM196696 HRS196696:HSI196696 IBO196696:ICE196696 ILK196696:IMA196696 IVG196696:IVW196696 JFC196696:JFS196696 JOY196696:JPO196696 JYU196696:JZK196696 KIQ196696:KJG196696 KSM196696:KTC196696 LCI196696:LCY196696 LME196696:LMU196696 LWA196696:LWQ196696 MFW196696:MGM196696 MPS196696:MQI196696 MZO196696:NAE196696 NJK196696:NKA196696 NTG196696:NTW196696 ODC196696:ODS196696 OMY196696:ONO196696 OWU196696:OXK196696 PGQ196696:PHG196696 PQM196696:PRC196696 QAI196696:QAY196696 QKE196696:QKU196696 QUA196696:QUQ196696 RDW196696:REM196696 RNS196696:ROI196696 RXO196696:RYE196696 SHK196696:SIA196696 SRG196696:SRW196696 TBC196696:TBS196696 TKY196696:TLO196696 TUU196696:TVK196696 UEQ196696:UFG196696 UOM196696:UPC196696 UYI196696:UYY196696 VIE196696:VIU196696 VSA196696:VSQ196696 WBW196696:WCM196696 WLS196696:WMI196696 WVO196696:WWE196696 G262232:W262232 JC262232:JS262232 SY262232:TO262232 ACU262232:ADK262232 AMQ262232:ANG262232 AWM262232:AXC262232 BGI262232:BGY262232 BQE262232:BQU262232 CAA262232:CAQ262232 CJW262232:CKM262232 CTS262232:CUI262232 DDO262232:DEE262232 DNK262232:DOA262232 DXG262232:DXW262232 EHC262232:EHS262232 EQY262232:ERO262232 FAU262232:FBK262232 FKQ262232:FLG262232 FUM262232:FVC262232 GEI262232:GEY262232 GOE262232:GOU262232 GYA262232:GYQ262232 HHW262232:HIM262232 HRS262232:HSI262232 IBO262232:ICE262232 ILK262232:IMA262232 IVG262232:IVW262232 JFC262232:JFS262232 JOY262232:JPO262232 JYU262232:JZK262232 KIQ262232:KJG262232 KSM262232:KTC262232 LCI262232:LCY262232 LME262232:LMU262232 LWA262232:LWQ262232 MFW262232:MGM262232 MPS262232:MQI262232 MZO262232:NAE262232 NJK262232:NKA262232 NTG262232:NTW262232 ODC262232:ODS262232 OMY262232:ONO262232 OWU262232:OXK262232 PGQ262232:PHG262232 PQM262232:PRC262232 QAI262232:QAY262232 QKE262232:QKU262232 QUA262232:QUQ262232 RDW262232:REM262232 RNS262232:ROI262232 RXO262232:RYE262232 SHK262232:SIA262232 SRG262232:SRW262232 TBC262232:TBS262232 TKY262232:TLO262232 TUU262232:TVK262232 UEQ262232:UFG262232 UOM262232:UPC262232 UYI262232:UYY262232 VIE262232:VIU262232 VSA262232:VSQ262232 WBW262232:WCM262232 WLS262232:WMI262232 WVO262232:WWE262232 G327768:W327768 JC327768:JS327768 SY327768:TO327768 ACU327768:ADK327768 AMQ327768:ANG327768 AWM327768:AXC327768 BGI327768:BGY327768 BQE327768:BQU327768 CAA327768:CAQ327768 CJW327768:CKM327768 CTS327768:CUI327768 DDO327768:DEE327768 DNK327768:DOA327768 DXG327768:DXW327768 EHC327768:EHS327768 EQY327768:ERO327768 FAU327768:FBK327768 FKQ327768:FLG327768 FUM327768:FVC327768 GEI327768:GEY327768 GOE327768:GOU327768 GYA327768:GYQ327768 HHW327768:HIM327768 HRS327768:HSI327768 IBO327768:ICE327768 ILK327768:IMA327768 IVG327768:IVW327768 JFC327768:JFS327768 JOY327768:JPO327768 JYU327768:JZK327768 KIQ327768:KJG327768 KSM327768:KTC327768 LCI327768:LCY327768 LME327768:LMU327768 LWA327768:LWQ327768 MFW327768:MGM327768 MPS327768:MQI327768 MZO327768:NAE327768 NJK327768:NKA327768 NTG327768:NTW327768 ODC327768:ODS327768 OMY327768:ONO327768 OWU327768:OXK327768 PGQ327768:PHG327768 PQM327768:PRC327768 QAI327768:QAY327768 QKE327768:QKU327768 QUA327768:QUQ327768 RDW327768:REM327768 RNS327768:ROI327768 RXO327768:RYE327768 SHK327768:SIA327768 SRG327768:SRW327768 TBC327768:TBS327768 TKY327768:TLO327768 TUU327768:TVK327768 UEQ327768:UFG327768 UOM327768:UPC327768 UYI327768:UYY327768 VIE327768:VIU327768 VSA327768:VSQ327768 WBW327768:WCM327768 WLS327768:WMI327768 WVO327768:WWE327768 G393304:W393304 JC393304:JS393304 SY393304:TO393304 ACU393304:ADK393304 AMQ393304:ANG393304 AWM393304:AXC393304 BGI393304:BGY393304 BQE393304:BQU393304 CAA393304:CAQ393304 CJW393304:CKM393304 CTS393304:CUI393304 DDO393304:DEE393304 DNK393304:DOA393304 DXG393304:DXW393304 EHC393304:EHS393304 EQY393304:ERO393304 FAU393304:FBK393304 FKQ393304:FLG393304 FUM393304:FVC393304 GEI393304:GEY393304 GOE393304:GOU393304 GYA393304:GYQ393304 HHW393304:HIM393304 HRS393304:HSI393304 IBO393304:ICE393304 ILK393304:IMA393304 IVG393304:IVW393304 JFC393304:JFS393304 JOY393304:JPO393304 JYU393304:JZK393304 KIQ393304:KJG393304 KSM393304:KTC393304 LCI393304:LCY393304 LME393304:LMU393304 LWA393304:LWQ393304 MFW393304:MGM393304 MPS393304:MQI393304 MZO393304:NAE393304 NJK393304:NKA393304 NTG393304:NTW393304 ODC393304:ODS393304 OMY393304:ONO393304 OWU393304:OXK393304 PGQ393304:PHG393304 PQM393304:PRC393304 QAI393304:QAY393304 QKE393304:QKU393304 QUA393304:QUQ393304 RDW393304:REM393304 RNS393304:ROI393304 RXO393304:RYE393304 SHK393304:SIA393304 SRG393304:SRW393304 TBC393304:TBS393304 TKY393304:TLO393304 TUU393304:TVK393304 UEQ393304:UFG393304 UOM393304:UPC393304 UYI393304:UYY393304 VIE393304:VIU393304 VSA393304:VSQ393304 WBW393304:WCM393304 WLS393304:WMI393304 WVO393304:WWE393304 G458840:W458840 JC458840:JS458840 SY458840:TO458840 ACU458840:ADK458840 AMQ458840:ANG458840 AWM458840:AXC458840 BGI458840:BGY458840 BQE458840:BQU458840 CAA458840:CAQ458840 CJW458840:CKM458840 CTS458840:CUI458840 DDO458840:DEE458840 DNK458840:DOA458840 DXG458840:DXW458840 EHC458840:EHS458840 EQY458840:ERO458840 FAU458840:FBK458840 FKQ458840:FLG458840 FUM458840:FVC458840 GEI458840:GEY458840 GOE458840:GOU458840 GYA458840:GYQ458840 HHW458840:HIM458840 HRS458840:HSI458840 IBO458840:ICE458840 ILK458840:IMA458840 IVG458840:IVW458840 JFC458840:JFS458840 JOY458840:JPO458840 JYU458840:JZK458840 KIQ458840:KJG458840 KSM458840:KTC458840 LCI458840:LCY458840 LME458840:LMU458840 LWA458840:LWQ458840 MFW458840:MGM458840 MPS458840:MQI458840 MZO458840:NAE458840 NJK458840:NKA458840 NTG458840:NTW458840 ODC458840:ODS458840 OMY458840:ONO458840 OWU458840:OXK458840 PGQ458840:PHG458840 PQM458840:PRC458840 QAI458840:QAY458840 QKE458840:QKU458840 QUA458840:QUQ458840 RDW458840:REM458840 RNS458840:ROI458840 RXO458840:RYE458840 SHK458840:SIA458840 SRG458840:SRW458840 TBC458840:TBS458840 TKY458840:TLO458840 TUU458840:TVK458840 UEQ458840:UFG458840 UOM458840:UPC458840 UYI458840:UYY458840 VIE458840:VIU458840 VSA458840:VSQ458840 WBW458840:WCM458840 WLS458840:WMI458840 WVO458840:WWE458840 G524376:W524376 JC524376:JS524376 SY524376:TO524376 ACU524376:ADK524376 AMQ524376:ANG524376 AWM524376:AXC524376 BGI524376:BGY524376 BQE524376:BQU524376 CAA524376:CAQ524376 CJW524376:CKM524376 CTS524376:CUI524376 DDO524376:DEE524376 DNK524376:DOA524376 DXG524376:DXW524376 EHC524376:EHS524376 EQY524376:ERO524376 FAU524376:FBK524376 FKQ524376:FLG524376 FUM524376:FVC524376 GEI524376:GEY524376 GOE524376:GOU524376 GYA524376:GYQ524376 HHW524376:HIM524376 HRS524376:HSI524376 IBO524376:ICE524376 ILK524376:IMA524376 IVG524376:IVW524376 JFC524376:JFS524376 JOY524376:JPO524376 JYU524376:JZK524376 KIQ524376:KJG524376 KSM524376:KTC524376 LCI524376:LCY524376 LME524376:LMU524376 LWA524376:LWQ524376 MFW524376:MGM524376 MPS524376:MQI524376 MZO524376:NAE524376 NJK524376:NKA524376 NTG524376:NTW524376 ODC524376:ODS524376 OMY524376:ONO524376 OWU524376:OXK524376 PGQ524376:PHG524376 PQM524376:PRC524376 QAI524376:QAY524376 QKE524376:QKU524376 QUA524376:QUQ524376 RDW524376:REM524376 RNS524376:ROI524376 RXO524376:RYE524376 SHK524376:SIA524376 SRG524376:SRW524376 TBC524376:TBS524376 TKY524376:TLO524376 TUU524376:TVK524376 UEQ524376:UFG524376 UOM524376:UPC524376 UYI524376:UYY524376 VIE524376:VIU524376 VSA524376:VSQ524376 WBW524376:WCM524376 WLS524376:WMI524376 WVO524376:WWE524376 G589912:W589912 JC589912:JS589912 SY589912:TO589912 ACU589912:ADK589912 AMQ589912:ANG589912 AWM589912:AXC589912 BGI589912:BGY589912 BQE589912:BQU589912 CAA589912:CAQ589912 CJW589912:CKM589912 CTS589912:CUI589912 DDO589912:DEE589912 DNK589912:DOA589912 DXG589912:DXW589912 EHC589912:EHS589912 EQY589912:ERO589912 FAU589912:FBK589912 FKQ589912:FLG589912 FUM589912:FVC589912 GEI589912:GEY589912 GOE589912:GOU589912 GYA589912:GYQ589912 HHW589912:HIM589912 HRS589912:HSI589912 IBO589912:ICE589912 ILK589912:IMA589912 IVG589912:IVW589912 JFC589912:JFS589912 JOY589912:JPO589912 JYU589912:JZK589912 KIQ589912:KJG589912 KSM589912:KTC589912 LCI589912:LCY589912 LME589912:LMU589912 LWA589912:LWQ589912 MFW589912:MGM589912 MPS589912:MQI589912 MZO589912:NAE589912 NJK589912:NKA589912 NTG589912:NTW589912 ODC589912:ODS589912 OMY589912:ONO589912 OWU589912:OXK589912 PGQ589912:PHG589912 PQM589912:PRC589912 QAI589912:QAY589912 QKE589912:QKU589912 QUA589912:QUQ589912 RDW589912:REM589912 RNS589912:ROI589912 RXO589912:RYE589912 SHK589912:SIA589912 SRG589912:SRW589912 TBC589912:TBS589912 TKY589912:TLO589912 TUU589912:TVK589912 UEQ589912:UFG589912 UOM589912:UPC589912 UYI589912:UYY589912 VIE589912:VIU589912 VSA589912:VSQ589912 WBW589912:WCM589912 WLS589912:WMI589912 WVO589912:WWE589912 G655448:W655448 JC655448:JS655448 SY655448:TO655448 ACU655448:ADK655448 AMQ655448:ANG655448 AWM655448:AXC655448 BGI655448:BGY655448 BQE655448:BQU655448 CAA655448:CAQ655448 CJW655448:CKM655448 CTS655448:CUI655448 DDO655448:DEE655448 DNK655448:DOA655448 DXG655448:DXW655448 EHC655448:EHS655448 EQY655448:ERO655448 FAU655448:FBK655448 FKQ655448:FLG655448 FUM655448:FVC655448 GEI655448:GEY655448 GOE655448:GOU655448 GYA655448:GYQ655448 HHW655448:HIM655448 HRS655448:HSI655448 IBO655448:ICE655448 ILK655448:IMA655448 IVG655448:IVW655448 JFC655448:JFS655448 JOY655448:JPO655448 JYU655448:JZK655448 KIQ655448:KJG655448 KSM655448:KTC655448 LCI655448:LCY655448 LME655448:LMU655448 LWA655448:LWQ655448 MFW655448:MGM655448 MPS655448:MQI655448 MZO655448:NAE655448 NJK655448:NKA655448 NTG655448:NTW655448 ODC655448:ODS655448 OMY655448:ONO655448 OWU655448:OXK655448 PGQ655448:PHG655448 PQM655448:PRC655448 QAI655448:QAY655448 QKE655448:QKU655448 QUA655448:QUQ655448 RDW655448:REM655448 RNS655448:ROI655448 RXO655448:RYE655448 SHK655448:SIA655448 SRG655448:SRW655448 TBC655448:TBS655448 TKY655448:TLO655448 TUU655448:TVK655448 UEQ655448:UFG655448 UOM655448:UPC655448 UYI655448:UYY655448 VIE655448:VIU655448 VSA655448:VSQ655448 WBW655448:WCM655448 WLS655448:WMI655448 WVO655448:WWE655448 G720984:W720984 JC720984:JS720984 SY720984:TO720984 ACU720984:ADK720984 AMQ720984:ANG720984 AWM720984:AXC720984 BGI720984:BGY720984 BQE720984:BQU720984 CAA720984:CAQ720984 CJW720984:CKM720984 CTS720984:CUI720984 DDO720984:DEE720984 DNK720984:DOA720984 DXG720984:DXW720984 EHC720984:EHS720984 EQY720984:ERO720984 FAU720984:FBK720984 FKQ720984:FLG720984 FUM720984:FVC720984 GEI720984:GEY720984 GOE720984:GOU720984 GYA720984:GYQ720984 HHW720984:HIM720984 HRS720984:HSI720984 IBO720984:ICE720984 ILK720984:IMA720984 IVG720984:IVW720984 JFC720984:JFS720984 JOY720984:JPO720984 JYU720984:JZK720984 KIQ720984:KJG720984 KSM720984:KTC720984 LCI720984:LCY720984 LME720984:LMU720984 LWA720984:LWQ720984 MFW720984:MGM720984 MPS720984:MQI720984 MZO720984:NAE720984 NJK720984:NKA720984 NTG720984:NTW720984 ODC720984:ODS720984 OMY720984:ONO720984 OWU720984:OXK720984 PGQ720984:PHG720984 PQM720984:PRC720984 QAI720984:QAY720984 QKE720984:QKU720984 QUA720984:QUQ720984 RDW720984:REM720984 RNS720984:ROI720984 RXO720984:RYE720984 SHK720984:SIA720984 SRG720984:SRW720984 TBC720984:TBS720984 TKY720984:TLO720984 TUU720984:TVK720984 UEQ720984:UFG720984 UOM720984:UPC720984 UYI720984:UYY720984 VIE720984:VIU720984 VSA720984:VSQ720984 WBW720984:WCM720984 WLS720984:WMI720984 WVO720984:WWE720984 G786520:W786520 JC786520:JS786520 SY786520:TO786520 ACU786520:ADK786520 AMQ786520:ANG786520 AWM786520:AXC786520 BGI786520:BGY786520 BQE786520:BQU786520 CAA786520:CAQ786520 CJW786520:CKM786520 CTS786520:CUI786520 DDO786520:DEE786520 DNK786520:DOA786520 DXG786520:DXW786520 EHC786520:EHS786520 EQY786520:ERO786520 FAU786520:FBK786520 FKQ786520:FLG786520 FUM786520:FVC786520 GEI786520:GEY786520 GOE786520:GOU786520 GYA786520:GYQ786520 HHW786520:HIM786520 HRS786520:HSI786520 IBO786520:ICE786520 ILK786520:IMA786520 IVG786520:IVW786520 JFC786520:JFS786520 JOY786520:JPO786520 JYU786520:JZK786520 KIQ786520:KJG786520 KSM786520:KTC786520 LCI786520:LCY786520 LME786520:LMU786520 LWA786520:LWQ786520 MFW786520:MGM786520 MPS786520:MQI786520 MZO786520:NAE786520 NJK786520:NKA786520 NTG786520:NTW786520 ODC786520:ODS786520 OMY786520:ONO786520 OWU786520:OXK786520 PGQ786520:PHG786520 PQM786520:PRC786520 QAI786520:QAY786520 QKE786520:QKU786520 QUA786520:QUQ786520 RDW786520:REM786520 RNS786520:ROI786520 RXO786520:RYE786520 SHK786520:SIA786520 SRG786520:SRW786520 TBC786520:TBS786520 TKY786520:TLO786520 TUU786520:TVK786520 UEQ786520:UFG786520 UOM786520:UPC786520 UYI786520:UYY786520 VIE786520:VIU786520 VSA786520:VSQ786520 WBW786520:WCM786520 WLS786520:WMI786520 WVO786520:WWE786520 G852056:W852056 JC852056:JS852056 SY852056:TO852056 ACU852056:ADK852056 AMQ852056:ANG852056 AWM852056:AXC852056 BGI852056:BGY852056 BQE852056:BQU852056 CAA852056:CAQ852056 CJW852056:CKM852056 CTS852056:CUI852056 DDO852056:DEE852056 DNK852056:DOA852056 DXG852056:DXW852056 EHC852056:EHS852056 EQY852056:ERO852056 FAU852056:FBK852056 FKQ852056:FLG852056 FUM852056:FVC852056 GEI852056:GEY852056 GOE852056:GOU852056 GYA852056:GYQ852056 HHW852056:HIM852056 HRS852056:HSI852056 IBO852056:ICE852056 ILK852056:IMA852056 IVG852056:IVW852056 JFC852056:JFS852056 JOY852056:JPO852056 JYU852056:JZK852056 KIQ852056:KJG852056 KSM852056:KTC852056 LCI852056:LCY852056 LME852056:LMU852056 LWA852056:LWQ852056 MFW852056:MGM852056 MPS852056:MQI852056 MZO852056:NAE852056 NJK852056:NKA852056 NTG852056:NTW852056 ODC852056:ODS852056 OMY852056:ONO852056 OWU852056:OXK852056 PGQ852056:PHG852056 PQM852056:PRC852056 QAI852056:QAY852056 QKE852056:QKU852056 QUA852056:QUQ852056 RDW852056:REM852056 RNS852056:ROI852056 RXO852056:RYE852056 SHK852056:SIA852056 SRG852056:SRW852056 TBC852056:TBS852056 TKY852056:TLO852056 TUU852056:TVK852056 UEQ852056:UFG852056 UOM852056:UPC852056 UYI852056:UYY852056 VIE852056:VIU852056 VSA852056:VSQ852056 WBW852056:WCM852056 WLS852056:WMI852056 WVO852056:WWE852056 G917592:W917592 JC917592:JS917592 SY917592:TO917592 ACU917592:ADK917592 AMQ917592:ANG917592 AWM917592:AXC917592 BGI917592:BGY917592 BQE917592:BQU917592 CAA917592:CAQ917592 CJW917592:CKM917592 CTS917592:CUI917592 DDO917592:DEE917592 DNK917592:DOA917592 DXG917592:DXW917592 EHC917592:EHS917592 EQY917592:ERO917592 FAU917592:FBK917592 FKQ917592:FLG917592 FUM917592:FVC917592 GEI917592:GEY917592 GOE917592:GOU917592 GYA917592:GYQ917592 HHW917592:HIM917592 HRS917592:HSI917592 IBO917592:ICE917592 ILK917592:IMA917592 IVG917592:IVW917592 JFC917592:JFS917592 JOY917592:JPO917592 JYU917592:JZK917592 KIQ917592:KJG917592 KSM917592:KTC917592 LCI917592:LCY917592 LME917592:LMU917592 LWA917592:LWQ917592 MFW917592:MGM917592 MPS917592:MQI917592 MZO917592:NAE917592 NJK917592:NKA917592 NTG917592:NTW917592 ODC917592:ODS917592 OMY917592:ONO917592 OWU917592:OXK917592 PGQ917592:PHG917592 PQM917592:PRC917592 QAI917592:QAY917592 QKE917592:QKU917592 QUA917592:QUQ917592 RDW917592:REM917592 RNS917592:ROI917592 RXO917592:RYE917592 SHK917592:SIA917592 SRG917592:SRW917592 TBC917592:TBS917592 TKY917592:TLO917592 TUU917592:TVK917592 UEQ917592:UFG917592 UOM917592:UPC917592 UYI917592:UYY917592 VIE917592:VIU917592 VSA917592:VSQ917592 WBW917592:WCM917592 WLS917592:WMI917592 WVO917592:WWE917592 G983128:W983128 JC983128:JS983128 SY983128:TO983128 ACU983128:ADK983128 AMQ983128:ANG983128 AWM983128:AXC983128 BGI983128:BGY983128 BQE983128:BQU983128 CAA983128:CAQ983128 CJW983128:CKM983128 CTS983128:CUI983128 DDO983128:DEE983128 DNK983128:DOA983128 DXG983128:DXW983128 EHC983128:EHS983128 EQY983128:ERO983128 FAU983128:FBK983128 FKQ983128:FLG983128 FUM983128:FVC983128 GEI983128:GEY983128 GOE983128:GOU983128 GYA983128:GYQ983128 HHW983128:HIM983128 HRS983128:HSI983128 IBO983128:ICE983128 ILK983128:IMA983128 IVG983128:IVW983128 JFC983128:JFS983128 JOY983128:JPO983128 JYU983128:JZK983128 KIQ983128:KJG983128 KSM983128:KTC983128 LCI983128:LCY983128 LME983128:LMU983128 LWA983128:LWQ983128 MFW983128:MGM983128 MPS983128:MQI983128 MZO983128:NAE983128 NJK983128:NKA983128 NTG983128:NTW983128 ODC983128:ODS983128 OMY983128:ONO983128 OWU983128:OXK983128 PGQ983128:PHG983128 PQM983128:PRC983128 QAI983128:QAY983128 QKE983128:QKU983128 QUA983128:QUQ983128 RDW983128:REM983128 RNS983128:ROI983128 RXO983128:RYE983128 SHK983128:SIA983128 SRG983128:SRW983128 TBC983128:TBS983128 TKY983128:TLO983128 TUU983128:TVK983128 UEQ983128:UFG983128 UOM983128:UPC983128 UYI983128:UYY983128 VIE983128:VIU983128 VSA983128:VSQ983128 WBW983128:WCM983128 WLS983128:WMI983128 WVO983128:WWE983128 Q81:V81 JM81:JR81 TI81:TN81 ADE81:ADJ81 ANA81:ANF81 AWW81:AXB81 BGS81:BGX81 BQO81:BQT81 CAK81:CAP81 CKG81:CKL81 CUC81:CUH81 DDY81:DED81 DNU81:DNZ81 DXQ81:DXV81 EHM81:EHR81 ERI81:ERN81 FBE81:FBJ81 FLA81:FLF81 FUW81:FVB81 GES81:GEX81 GOO81:GOT81 GYK81:GYP81 HIG81:HIL81 HSC81:HSH81 IBY81:ICD81 ILU81:ILZ81 IVQ81:IVV81 JFM81:JFR81 JPI81:JPN81 JZE81:JZJ81 KJA81:KJF81 KSW81:KTB81 LCS81:LCX81 LMO81:LMT81 LWK81:LWP81 MGG81:MGL81 MQC81:MQH81 MZY81:NAD81 NJU81:NJZ81 NTQ81:NTV81 ODM81:ODR81 ONI81:ONN81 OXE81:OXJ81 PHA81:PHF81 PQW81:PRB81 QAS81:QAX81 QKO81:QKT81 QUK81:QUP81 REG81:REL81 ROC81:ROH81 RXY81:RYD81 SHU81:SHZ81 SRQ81:SRV81 TBM81:TBR81 TLI81:TLN81 TVE81:TVJ81 UFA81:UFF81 UOW81:UPB81 UYS81:UYX81 VIO81:VIT81 VSK81:VSP81 WCG81:WCL81 WMC81:WMH81 WVY81:WWD81 Q65617:V65617 JM65617:JR65617 TI65617:TN65617 ADE65617:ADJ65617 ANA65617:ANF65617 AWW65617:AXB65617 BGS65617:BGX65617 BQO65617:BQT65617 CAK65617:CAP65617 CKG65617:CKL65617 CUC65617:CUH65617 DDY65617:DED65617 DNU65617:DNZ65617 DXQ65617:DXV65617 EHM65617:EHR65617 ERI65617:ERN65617 FBE65617:FBJ65617 FLA65617:FLF65617 FUW65617:FVB65617 GES65617:GEX65617 GOO65617:GOT65617 GYK65617:GYP65617 HIG65617:HIL65617 HSC65617:HSH65617 IBY65617:ICD65617 ILU65617:ILZ65617 IVQ65617:IVV65617 JFM65617:JFR65617 JPI65617:JPN65617 JZE65617:JZJ65617 KJA65617:KJF65617 KSW65617:KTB65617 LCS65617:LCX65617 LMO65617:LMT65617 LWK65617:LWP65617 MGG65617:MGL65617 MQC65617:MQH65617 MZY65617:NAD65617 NJU65617:NJZ65617 NTQ65617:NTV65617 ODM65617:ODR65617 ONI65617:ONN65617 OXE65617:OXJ65617 PHA65617:PHF65617 PQW65617:PRB65617 QAS65617:QAX65617 QKO65617:QKT65617 QUK65617:QUP65617 REG65617:REL65617 ROC65617:ROH65617 RXY65617:RYD65617 SHU65617:SHZ65617 SRQ65617:SRV65617 TBM65617:TBR65617 TLI65617:TLN65617 TVE65617:TVJ65617 UFA65617:UFF65617 UOW65617:UPB65617 UYS65617:UYX65617 VIO65617:VIT65617 VSK65617:VSP65617 WCG65617:WCL65617 WMC65617:WMH65617 WVY65617:WWD65617 Q131153:V131153 JM131153:JR131153 TI131153:TN131153 ADE131153:ADJ131153 ANA131153:ANF131153 AWW131153:AXB131153 BGS131153:BGX131153 BQO131153:BQT131153 CAK131153:CAP131153 CKG131153:CKL131153 CUC131153:CUH131153 DDY131153:DED131153 DNU131153:DNZ131153 DXQ131153:DXV131153 EHM131153:EHR131153 ERI131153:ERN131153 FBE131153:FBJ131153 FLA131153:FLF131153 FUW131153:FVB131153 GES131153:GEX131153 GOO131153:GOT131153 GYK131153:GYP131153 HIG131153:HIL131153 HSC131153:HSH131153 IBY131153:ICD131153 ILU131153:ILZ131153 IVQ131153:IVV131153 JFM131153:JFR131153 JPI131153:JPN131153 JZE131153:JZJ131153 KJA131153:KJF131153 KSW131153:KTB131153 LCS131153:LCX131153 LMO131153:LMT131153 LWK131153:LWP131153 MGG131153:MGL131153 MQC131153:MQH131153 MZY131153:NAD131153 NJU131153:NJZ131153 NTQ131153:NTV131153 ODM131153:ODR131153 ONI131153:ONN131153 OXE131153:OXJ131153 PHA131153:PHF131153 PQW131153:PRB131153 QAS131153:QAX131153 QKO131153:QKT131153 QUK131153:QUP131153 REG131153:REL131153 ROC131153:ROH131153 RXY131153:RYD131153 SHU131153:SHZ131153 SRQ131153:SRV131153 TBM131153:TBR131153 TLI131153:TLN131153 TVE131153:TVJ131153 UFA131153:UFF131153 UOW131153:UPB131153 UYS131153:UYX131153 VIO131153:VIT131153 VSK131153:VSP131153 WCG131153:WCL131153 WMC131153:WMH131153 WVY131153:WWD131153 Q196689:V196689 JM196689:JR196689 TI196689:TN196689 ADE196689:ADJ196689 ANA196689:ANF196689 AWW196689:AXB196689 BGS196689:BGX196689 BQO196689:BQT196689 CAK196689:CAP196689 CKG196689:CKL196689 CUC196689:CUH196689 DDY196689:DED196689 DNU196689:DNZ196689 DXQ196689:DXV196689 EHM196689:EHR196689 ERI196689:ERN196689 FBE196689:FBJ196689 FLA196689:FLF196689 FUW196689:FVB196689 GES196689:GEX196689 GOO196689:GOT196689 GYK196689:GYP196689 HIG196689:HIL196689 HSC196689:HSH196689 IBY196689:ICD196689 ILU196689:ILZ196689 IVQ196689:IVV196689 JFM196689:JFR196689 JPI196689:JPN196689 JZE196689:JZJ196689 KJA196689:KJF196689 KSW196689:KTB196689 LCS196689:LCX196689 LMO196689:LMT196689 LWK196689:LWP196689 MGG196689:MGL196689 MQC196689:MQH196689 MZY196689:NAD196689 NJU196689:NJZ196689 NTQ196689:NTV196689 ODM196689:ODR196689 ONI196689:ONN196689 OXE196689:OXJ196689 PHA196689:PHF196689 PQW196689:PRB196689 QAS196689:QAX196689 QKO196689:QKT196689 QUK196689:QUP196689 REG196689:REL196689 ROC196689:ROH196689 RXY196689:RYD196689 SHU196689:SHZ196689 SRQ196689:SRV196689 TBM196689:TBR196689 TLI196689:TLN196689 TVE196689:TVJ196689 UFA196689:UFF196689 UOW196689:UPB196689 UYS196689:UYX196689 VIO196689:VIT196689 VSK196689:VSP196689 WCG196689:WCL196689 WMC196689:WMH196689 WVY196689:WWD196689 Q262225:V262225 JM262225:JR262225 TI262225:TN262225 ADE262225:ADJ262225 ANA262225:ANF262225 AWW262225:AXB262225 BGS262225:BGX262225 BQO262225:BQT262225 CAK262225:CAP262225 CKG262225:CKL262225 CUC262225:CUH262225 DDY262225:DED262225 DNU262225:DNZ262225 DXQ262225:DXV262225 EHM262225:EHR262225 ERI262225:ERN262225 FBE262225:FBJ262225 FLA262225:FLF262225 FUW262225:FVB262225 GES262225:GEX262225 GOO262225:GOT262225 GYK262225:GYP262225 HIG262225:HIL262225 HSC262225:HSH262225 IBY262225:ICD262225 ILU262225:ILZ262225 IVQ262225:IVV262225 JFM262225:JFR262225 JPI262225:JPN262225 JZE262225:JZJ262225 KJA262225:KJF262225 KSW262225:KTB262225 LCS262225:LCX262225 LMO262225:LMT262225 LWK262225:LWP262225 MGG262225:MGL262225 MQC262225:MQH262225 MZY262225:NAD262225 NJU262225:NJZ262225 NTQ262225:NTV262225 ODM262225:ODR262225 ONI262225:ONN262225 OXE262225:OXJ262225 PHA262225:PHF262225 PQW262225:PRB262225 QAS262225:QAX262225 QKO262225:QKT262225 QUK262225:QUP262225 REG262225:REL262225 ROC262225:ROH262225 RXY262225:RYD262225 SHU262225:SHZ262225 SRQ262225:SRV262225 TBM262225:TBR262225 TLI262225:TLN262225 TVE262225:TVJ262225 UFA262225:UFF262225 UOW262225:UPB262225 UYS262225:UYX262225 VIO262225:VIT262225 VSK262225:VSP262225 WCG262225:WCL262225 WMC262225:WMH262225 WVY262225:WWD262225 Q327761:V327761 JM327761:JR327761 TI327761:TN327761 ADE327761:ADJ327761 ANA327761:ANF327761 AWW327761:AXB327761 BGS327761:BGX327761 BQO327761:BQT327761 CAK327761:CAP327761 CKG327761:CKL327761 CUC327761:CUH327761 DDY327761:DED327761 DNU327761:DNZ327761 DXQ327761:DXV327761 EHM327761:EHR327761 ERI327761:ERN327761 FBE327761:FBJ327761 FLA327761:FLF327761 FUW327761:FVB327761 GES327761:GEX327761 GOO327761:GOT327761 GYK327761:GYP327761 HIG327761:HIL327761 HSC327761:HSH327761 IBY327761:ICD327761 ILU327761:ILZ327761 IVQ327761:IVV327761 JFM327761:JFR327761 JPI327761:JPN327761 JZE327761:JZJ327761 KJA327761:KJF327761 KSW327761:KTB327761 LCS327761:LCX327761 LMO327761:LMT327761 LWK327761:LWP327761 MGG327761:MGL327761 MQC327761:MQH327761 MZY327761:NAD327761 NJU327761:NJZ327761 NTQ327761:NTV327761 ODM327761:ODR327761 ONI327761:ONN327761 OXE327761:OXJ327761 PHA327761:PHF327761 PQW327761:PRB327761 QAS327761:QAX327761 QKO327761:QKT327761 QUK327761:QUP327761 REG327761:REL327761 ROC327761:ROH327761 RXY327761:RYD327761 SHU327761:SHZ327761 SRQ327761:SRV327761 TBM327761:TBR327761 TLI327761:TLN327761 TVE327761:TVJ327761 UFA327761:UFF327761 UOW327761:UPB327761 UYS327761:UYX327761 VIO327761:VIT327761 VSK327761:VSP327761 WCG327761:WCL327761 WMC327761:WMH327761 WVY327761:WWD327761 Q393297:V393297 JM393297:JR393297 TI393297:TN393297 ADE393297:ADJ393297 ANA393297:ANF393297 AWW393297:AXB393297 BGS393297:BGX393297 BQO393297:BQT393297 CAK393297:CAP393297 CKG393297:CKL393297 CUC393297:CUH393297 DDY393297:DED393297 DNU393297:DNZ393297 DXQ393297:DXV393297 EHM393297:EHR393297 ERI393297:ERN393297 FBE393297:FBJ393297 FLA393297:FLF393297 FUW393297:FVB393297 GES393297:GEX393297 GOO393297:GOT393297 GYK393297:GYP393297 HIG393297:HIL393297 HSC393297:HSH393297 IBY393297:ICD393297 ILU393297:ILZ393297 IVQ393297:IVV393297 JFM393297:JFR393297 JPI393297:JPN393297 JZE393297:JZJ393297 KJA393297:KJF393297 KSW393297:KTB393297 LCS393297:LCX393297 LMO393297:LMT393297 LWK393297:LWP393297 MGG393297:MGL393297 MQC393297:MQH393297 MZY393297:NAD393297 NJU393297:NJZ393297 NTQ393297:NTV393297 ODM393297:ODR393297 ONI393297:ONN393297 OXE393297:OXJ393297 PHA393297:PHF393297 PQW393297:PRB393297 QAS393297:QAX393297 QKO393297:QKT393297 QUK393297:QUP393297 REG393297:REL393297 ROC393297:ROH393297 RXY393297:RYD393297 SHU393297:SHZ393297 SRQ393297:SRV393297 TBM393297:TBR393297 TLI393297:TLN393297 TVE393297:TVJ393297 UFA393297:UFF393297 UOW393297:UPB393297 UYS393297:UYX393297 VIO393297:VIT393297 VSK393297:VSP393297 WCG393297:WCL393297 WMC393297:WMH393297 WVY393297:WWD393297 Q458833:V458833 JM458833:JR458833 TI458833:TN458833 ADE458833:ADJ458833 ANA458833:ANF458833 AWW458833:AXB458833 BGS458833:BGX458833 BQO458833:BQT458833 CAK458833:CAP458833 CKG458833:CKL458833 CUC458833:CUH458833 DDY458833:DED458833 DNU458833:DNZ458833 DXQ458833:DXV458833 EHM458833:EHR458833 ERI458833:ERN458833 FBE458833:FBJ458833 FLA458833:FLF458833 FUW458833:FVB458833 GES458833:GEX458833 GOO458833:GOT458833 GYK458833:GYP458833 HIG458833:HIL458833 HSC458833:HSH458833 IBY458833:ICD458833 ILU458833:ILZ458833 IVQ458833:IVV458833 JFM458833:JFR458833 JPI458833:JPN458833 JZE458833:JZJ458833 KJA458833:KJF458833 KSW458833:KTB458833 LCS458833:LCX458833 LMO458833:LMT458833 LWK458833:LWP458833 MGG458833:MGL458833 MQC458833:MQH458833 MZY458833:NAD458833 NJU458833:NJZ458833 NTQ458833:NTV458833 ODM458833:ODR458833 ONI458833:ONN458833 OXE458833:OXJ458833 PHA458833:PHF458833 PQW458833:PRB458833 QAS458833:QAX458833 QKO458833:QKT458833 QUK458833:QUP458833 REG458833:REL458833 ROC458833:ROH458833 RXY458833:RYD458833 SHU458833:SHZ458833 SRQ458833:SRV458833 TBM458833:TBR458833 TLI458833:TLN458833 TVE458833:TVJ458833 UFA458833:UFF458833 UOW458833:UPB458833 UYS458833:UYX458833 VIO458833:VIT458833 VSK458833:VSP458833 WCG458833:WCL458833 WMC458833:WMH458833 WVY458833:WWD458833 Q524369:V524369 JM524369:JR524369 TI524369:TN524369 ADE524369:ADJ524369 ANA524369:ANF524369 AWW524369:AXB524369 BGS524369:BGX524369 BQO524369:BQT524369 CAK524369:CAP524369 CKG524369:CKL524369 CUC524369:CUH524369 DDY524369:DED524369 DNU524369:DNZ524369 DXQ524369:DXV524369 EHM524369:EHR524369 ERI524369:ERN524369 FBE524369:FBJ524369 FLA524369:FLF524369 FUW524369:FVB524369 GES524369:GEX524369 GOO524369:GOT524369 GYK524369:GYP524369 HIG524369:HIL524369 HSC524369:HSH524369 IBY524369:ICD524369 ILU524369:ILZ524369 IVQ524369:IVV524369 JFM524369:JFR524369 JPI524369:JPN524369 JZE524369:JZJ524369 KJA524369:KJF524369 KSW524369:KTB524369 LCS524369:LCX524369 LMO524369:LMT524369 LWK524369:LWP524369 MGG524369:MGL524369 MQC524369:MQH524369 MZY524369:NAD524369 NJU524369:NJZ524369 NTQ524369:NTV524369 ODM524369:ODR524369 ONI524369:ONN524369 OXE524369:OXJ524369 PHA524369:PHF524369 PQW524369:PRB524369 QAS524369:QAX524369 QKO524369:QKT524369 QUK524369:QUP524369 REG524369:REL524369 ROC524369:ROH524369 RXY524369:RYD524369 SHU524369:SHZ524369 SRQ524369:SRV524369 TBM524369:TBR524369 TLI524369:TLN524369 TVE524369:TVJ524369 UFA524369:UFF524369 UOW524369:UPB524369 UYS524369:UYX524369 VIO524369:VIT524369 VSK524369:VSP524369 WCG524369:WCL524369 WMC524369:WMH524369 WVY524369:WWD524369 Q589905:V589905 JM589905:JR589905 TI589905:TN589905 ADE589905:ADJ589905 ANA589905:ANF589905 AWW589905:AXB589905 BGS589905:BGX589905 BQO589905:BQT589905 CAK589905:CAP589905 CKG589905:CKL589905 CUC589905:CUH589905 DDY589905:DED589905 DNU589905:DNZ589905 DXQ589905:DXV589905 EHM589905:EHR589905 ERI589905:ERN589905 FBE589905:FBJ589905 FLA589905:FLF589905 FUW589905:FVB589905 GES589905:GEX589905 GOO589905:GOT589905 GYK589905:GYP589905 HIG589905:HIL589905 HSC589905:HSH589905 IBY589905:ICD589905 ILU589905:ILZ589905 IVQ589905:IVV589905 JFM589905:JFR589905 JPI589905:JPN589905 JZE589905:JZJ589905 KJA589905:KJF589905 KSW589905:KTB589905 LCS589905:LCX589905 LMO589905:LMT589905 LWK589905:LWP589905 MGG589905:MGL589905 MQC589905:MQH589905 MZY589905:NAD589905 NJU589905:NJZ589905 NTQ589905:NTV589905 ODM589905:ODR589905 ONI589905:ONN589905 OXE589905:OXJ589905 PHA589905:PHF589905 PQW589905:PRB589905 QAS589905:QAX589905 QKO589905:QKT589905 QUK589905:QUP589905 REG589905:REL589905 ROC589905:ROH589905 RXY589905:RYD589905 SHU589905:SHZ589905 SRQ589905:SRV589905 TBM589905:TBR589905 TLI589905:TLN589905 TVE589905:TVJ589905 UFA589905:UFF589905 UOW589905:UPB589905 UYS589905:UYX589905 VIO589905:VIT589905 VSK589905:VSP589905 WCG589905:WCL589905 WMC589905:WMH589905 WVY589905:WWD589905 Q655441:V655441 JM655441:JR655441 TI655441:TN655441 ADE655441:ADJ655441 ANA655441:ANF655441 AWW655441:AXB655441 BGS655441:BGX655441 BQO655441:BQT655441 CAK655441:CAP655441 CKG655441:CKL655441 CUC655441:CUH655441 DDY655441:DED655441 DNU655441:DNZ655441 DXQ655441:DXV655441 EHM655441:EHR655441 ERI655441:ERN655441 FBE655441:FBJ655441 FLA655441:FLF655441 FUW655441:FVB655441 GES655441:GEX655441 GOO655441:GOT655441 GYK655441:GYP655441 HIG655441:HIL655441 HSC655441:HSH655441 IBY655441:ICD655441 ILU655441:ILZ655441 IVQ655441:IVV655441 JFM655441:JFR655441 JPI655441:JPN655441 JZE655441:JZJ655441 KJA655441:KJF655441 KSW655441:KTB655441 LCS655441:LCX655441 LMO655441:LMT655441 LWK655441:LWP655441 MGG655441:MGL655441 MQC655441:MQH655441 MZY655441:NAD655441 NJU655441:NJZ655441 NTQ655441:NTV655441 ODM655441:ODR655441 ONI655441:ONN655441 OXE655441:OXJ655441 PHA655441:PHF655441 PQW655441:PRB655441 QAS655441:QAX655441 QKO655441:QKT655441 QUK655441:QUP655441 REG655441:REL655441 ROC655441:ROH655441 RXY655441:RYD655441 SHU655441:SHZ655441 SRQ655441:SRV655441 TBM655441:TBR655441 TLI655441:TLN655441 TVE655441:TVJ655441 UFA655441:UFF655441 UOW655441:UPB655441 UYS655441:UYX655441 VIO655441:VIT655441 VSK655441:VSP655441 WCG655441:WCL655441 WMC655441:WMH655441 WVY655441:WWD655441 Q720977:V720977 JM720977:JR720977 TI720977:TN720977 ADE720977:ADJ720977 ANA720977:ANF720977 AWW720977:AXB720977 BGS720977:BGX720977 BQO720977:BQT720977 CAK720977:CAP720977 CKG720977:CKL720977 CUC720977:CUH720977 DDY720977:DED720977 DNU720977:DNZ720977 DXQ720977:DXV720977 EHM720977:EHR720977 ERI720977:ERN720977 FBE720977:FBJ720977 FLA720977:FLF720977 FUW720977:FVB720977 GES720977:GEX720977 GOO720977:GOT720977 GYK720977:GYP720977 HIG720977:HIL720977 HSC720977:HSH720977 IBY720977:ICD720977 ILU720977:ILZ720977 IVQ720977:IVV720977 JFM720977:JFR720977 JPI720977:JPN720977 JZE720977:JZJ720977 KJA720977:KJF720977 KSW720977:KTB720977 LCS720977:LCX720977 LMO720977:LMT720977 LWK720977:LWP720977 MGG720977:MGL720977 MQC720977:MQH720977 MZY720977:NAD720977 NJU720977:NJZ720977 NTQ720977:NTV720977 ODM720977:ODR720977 ONI720977:ONN720977 OXE720977:OXJ720977 PHA720977:PHF720977 PQW720977:PRB720977 QAS720977:QAX720977 QKO720977:QKT720977 QUK720977:QUP720977 REG720977:REL720977 ROC720977:ROH720977 RXY720977:RYD720977 SHU720977:SHZ720977 SRQ720977:SRV720977 TBM720977:TBR720977 TLI720977:TLN720977 TVE720977:TVJ720977 UFA720977:UFF720977 UOW720977:UPB720977 UYS720977:UYX720977 VIO720977:VIT720977 VSK720977:VSP720977 WCG720977:WCL720977 WMC720977:WMH720977 WVY720977:WWD720977 Q786513:V786513 JM786513:JR786513 TI786513:TN786513 ADE786513:ADJ786513 ANA786513:ANF786513 AWW786513:AXB786513 BGS786513:BGX786513 BQO786513:BQT786513 CAK786513:CAP786513 CKG786513:CKL786513 CUC786513:CUH786513 DDY786513:DED786513 DNU786513:DNZ786513 DXQ786513:DXV786513 EHM786513:EHR786513 ERI786513:ERN786513 FBE786513:FBJ786513 FLA786513:FLF786513 FUW786513:FVB786513 GES786513:GEX786513 GOO786513:GOT786513 GYK786513:GYP786513 HIG786513:HIL786513 HSC786513:HSH786513 IBY786513:ICD786513 ILU786513:ILZ786513 IVQ786513:IVV786513 JFM786513:JFR786513 JPI786513:JPN786513 JZE786513:JZJ786513 KJA786513:KJF786513 KSW786513:KTB786513 LCS786513:LCX786513 LMO786513:LMT786513 LWK786513:LWP786513 MGG786513:MGL786513 MQC786513:MQH786513 MZY786513:NAD786513 NJU786513:NJZ786513 NTQ786513:NTV786513 ODM786513:ODR786513 ONI786513:ONN786513 OXE786513:OXJ786513 PHA786513:PHF786513 PQW786513:PRB786513 QAS786513:QAX786513 QKO786513:QKT786513 QUK786513:QUP786513 REG786513:REL786513 ROC786513:ROH786513 RXY786513:RYD786513 SHU786513:SHZ786513 SRQ786513:SRV786513 TBM786513:TBR786513 TLI786513:TLN786513 TVE786513:TVJ786513 UFA786513:UFF786513 UOW786513:UPB786513 UYS786513:UYX786513 VIO786513:VIT786513 VSK786513:VSP786513 WCG786513:WCL786513 WMC786513:WMH786513 WVY786513:WWD786513 Q852049:V852049 JM852049:JR852049 TI852049:TN852049 ADE852049:ADJ852049 ANA852049:ANF852049 AWW852049:AXB852049 BGS852049:BGX852049 BQO852049:BQT852049 CAK852049:CAP852049 CKG852049:CKL852049 CUC852049:CUH852049 DDY852049:DED852049 DNU852049:DNZ852049 DXQ852049:DXV852049 EHM852049:EHR852049 ERI852049:ERN852049 FBE852049:FBJ852049 FLA852049:FLF852049 FUW852049:FVB852049 GES852049:GEX852049 GOO852049:GOT852049 GYK852049:GYP852049 HIG852049:HIL852049 HSC852049:HSH852049 IBY852049:ICD852049 ILU852049:ILZ852049 IVQ852049:IVV852049 JFM852049:JFR852049 JPI852049:JPN852049 JZE852049:JZJ852049 KJA852049:KJF852049 KSW852049:KTB852049 LCS852049:LCX852049 LMO852049:LMT852049 LWK852049:LWP852049 MGG852049:MGL852049 MQC852049:MQH852049 MZY852049:NAD852049 NJU852049:NJZ852049 NTQ852049:NTV852049 ODM852049:ODR852049 ONI852049:ONN852049 OXE852049:OXJ852049 PHA852049:PHF852049 PQW852049:PRB852049 QAS852049:QAX852049 QKO852049:QKT852049 QUK852049:QUP852049 REG852049:REL852049 ROC852049:ROH852049 RXY852049:RYD852049 SHU852049:SHZ852049 SRQ852049:SRV852049 TBM852049:TBR852049 TLI852049:TLN852049 TVE852049:TVJ852049 UFA852049:UFF852049 UOW852049:UPB852049 UYS852049:UYX852049 VIO852049:VIT852049 VSK852049:VSP852049 WCG852049:WCL852049 WMC852049:WMH852049 WVY852049:WWD852049 Q917585:V917585 JM917585:JR917585 TI917585:TN917585 ADE917585:ADJ917585 ANA917585:ANF917585 AWW917585:AXB917585 BGS917585:BGX917585 BQO917585:BQT917585 CAK917585:CAP917585 CKG917585:CKL917585 CUC917585:CUH917585 DDY917585:DED917585 DNU917585:DNZ917585 DXQ917585:DXV917585 EHM917585:EHR917585 ERI917585:ERN917585 FBE917585:FBJ917585 FLA917585:FLF917585 FUW917585:FVB917585 GES917585:GEX917585 GOO917585:GOT917585 GYK917585:GYP917585 HIG917585:HIL917585 HSC917585:HSH917585 IBY917585:ICD917585 ILU917585:ILZ917585 IVQ917585:IVV917585 JFM917585:JFR917585 JPI917585:JPN917585 JZE917585:JZJ917585 KJA917585:KJF917585 KSW917585:KTB917585 LCS917585:LCX917585 LMO917585:LMT917585 LWK917585:LWP917585 MGG917585:MGL917585 MQC917585:MQH917585 MZY917585:NAD917585 NJU917585:NJZ917585 NTQ917585:NTV917585 ODM917585:ODR917585 ONI917585:ONN917585 OXE917585:OXJ917585 PHA917585:PHF917585 PQW917585:PRB917585 QAS917585:QAX917585 QKO917585:QKT917585 QUK917585:QUP917585 REG917585:REL917585 ROC917585:ROH917585 RXY917585:RYD917585 SHU917585:SHZ917585 SRQ917585:SRV917585 TBM917585:TBR917585 TLI917585:TLN917585 TVE917585:TVJ917585 UFA917585:UFF917585 UOW917585:UPB917585 UYS917585:UYX917585 VIO917585:VIT917585 VSK917585:VSP917585 WCG917585:WCL917585 WMC917585:WMH917585 WVY917585:WWD917585 Q983121:V983121 JM983121:JR983121 TI983121:TN983121 ADE983121:ADJ983121 ANA983121:ANF983121 AWW983121:AXB983121 BGS983121:BGX983121 BQO983121:BQT983121 CAK983121:CAP983121 CKG983121:CKL983121 CUC983121:CUH983121 DDY983121:DED983121 DNU983121:DNZ983121 DXQ983121:DXV983121 EHM983121:EHR983121 ERI983121:ERN983121 FBE983121:FBJ983121 FLA983121:FLF983121 FUW983121:FVB983121 GES983121:GEX983121 GOO983121:GOT983121 GYK983121:GYP983121 HIG983121:HIL983121 HSC983121:HSH983121 IBY983121:ICD983121 ILU983121:ILZ983121 IVQ983121:IVV983121 JFM983121:JFR983121 JPI983121:JPN983121 JZE983121:JZJ983121 KJA983121:KJF983121 KSW983121:KTB983121 LCS983121:LCX983121 LMO983121:LMT983121 LWK983121:LWP983121 MGG983121:MGL983121 MQC983121:MQH983121 MZY983121:NAD983121 NJU983121:NJZ983121 NTQ983121:NTV983121 ODM983121:ODR983121 ONI983121:ONN983121 OXE983121:OXJ983121 PHA983121:PHF983121 PQW983121:PRB983121 QAS983121:QAX983121 QKO983121:QKT983121 QUK983121:QUP983121 REG983121:REL983121 ROC983121:ROH983121 RXY983121:RYD983121 SHU983121:SHZ983121 SRQ983121:SRV983121 TBM983121:TBR983121 TLI983121:TLN983121 TVE983121:TVJ983121 UFA983121:UFF983121 UOW983121:UPB983121 UYS983121:UYX983121 VIO983121:VIT983121 VSK983121:VSP983121 WCG983121:WCL983121 WMC983121:WMH983121 WVY983121:WWD983121 R83:V83 JN83:JR83 TJ83:TN83 ADF83:ADJ83 ANB83:ANF83 AWX83:AXB83 BGT83:BGX83 BQP83:BQT83 CAL83:CAP83 CKH83:CKL83 CUD83:CUH83 DDZ83:DED83 DNV83:DNZ83 DXR83:DXV83 EHN83:EHR83 ERJ83:ERN83 FBF83:FBJ83 FLB83:FLF83 FUX83:FVB83 GET83:GEX83 GOP83:GOT83 GYL83:GYP83 HIH83:HIL83 HSD83:HSH83 IBZ83:ICD83 ILV83:ILZ83 IVR83:IVV83 JFN83:JFR83 JPJ83:JPN83 JZF83:JZJ83 KJB83:KJF83 KSX83:KTB83 LCT83:LCX83 LMP83:LMT83 LWL83:LWP83 MGH83:MGL83 MQD83:MQH83 MZZ83:NAD83 NJV83:NJZ83 NTR83:NTV83 ODN83:ODR83 ONJ83:ONN83 OXF83:OXJ83 PHB83:PHF83 PQX83:PRB83 QAT83:QAX83 QKP83:QKT83 QUL83:QUP83 REH83:REL83 ROD83:ROH83 RXZ83:RYD83 SHV83:SHZ83 SRR83:SRV83 TBN83:TBR83 TLJ83:TLN83 TVF83:TVJ83 UFB83:UFF83 UOX83:UPB83 UYT83:UYX83 VIP83:VIT83 VSL83:VSP83 WCH83:WCL83 WMD83:WMH83 WVZ83:WWD83 R65619:V65619 JN65619:JR65619 TJ65619:TN65619 ADF65619:ADJ65619 ANB65619:ANF65619 AWX65619:AXB65619 BGT65619:BGX65619 BQP65619:BQT65619 CAL65619:CAP65619 CKH65619:CKL65619 CUD65619:CUH65619 DDZ65619:DED65619 DNV65619:DNZ65619 DXR65619:DXV65619 EHN65619:EHR65619 ERJ65619:ERN65619 FBF65619:FBJ65619 FLB65619:FLF65619 FUX65619:FVB65619 GET65619:GEX65619 GOP65619:GOT65619 GYL65619:GYP65619 HIH65619:HIL65619 HSD65619:HSH65619 IBZ65619:ICD65619 ILV65619:ILZ65619 IVR65619:IVV65619 JFN65619:JFR65619 JPJ65619:JPN65619 JZF65619:JZJ65619 KJB65619:KJF65619 KSX65619:KTB65619 LCT65619:LCX65619 LMP65619:LMT65619 LWL65619:LWP65619 MGH65619:MGL65619 MQD65619:MQH65619 MZZ65619:NAD65619 NJV65619:NJZ65619 NTR65619:NTV65619 ODN65619:ODR65619 ONJ65619:ONN65619 OXF65619:OXJ65619 PHB65619:PHF65619 PQX65619:PRB65619 QAT65619:QAX65619 QKP65619:QKT65619 QUL65619:QUP65619 REH65619:REL65619 ROD65619:ROH65619 RXZ65619:RYD65619 SHV65619:SHZ65619 SRR65619:SRV65619 TBN65619:TBR65619 TLJ65619:TLN65619 TVF65619:TVJ65619 UFB65619:UFF65619 UOX65619:UPB65619 UYT65619:UYX65619 VIP65619:VIT65619 VSL65619:VSP65619 WCH65619:WCL65619 WMD65619:WMH65619 WVZ65619:WWD65619 R131155:V131155 JN131155:JR131155 TJ131155:TN131155 ADF131155:ADJ131155 ANB131155:ANF131155 AWX131155:AXB131155 BGT131155:BGX131155 BQP131155:BQT131155 CAL131155:CAP131155 CKH131155:CKL131155 CUD131155:CUH131155 DDZ131155:DED131155 DNV131155:DNZ131155 DXR131155:DXV131155 EHN131155:EHR131155 ERJ131155:ERN131155 FBF131155:FBJ131155 FLB131155:FLF131155 FUX131155:FVB131155 GET131155:GEX131155 GOP131155:GOT131155 GYL131155:GYP131155 HIH131155:HIL131155 HSD131155:HSH131155 IBZ131155:ICD131155 ILV131155:ILZ131155 IVR131155:IVV131155 JFN131155:JFR131155 JPJ131155:JPN131155 JZF131155:JZJ131155 KJB131155:KJF131155 KSX131155:KTB131155 LCT131155:LCX131155 LMP131155:LMT131155 LWL131155:LWP131155 MGH131155:MGL131155 MQD131155:MQH131155 MZZ131155:NAD131155 NJV131155:NJZ131155 NTR131155:NTV131155 ODN131155:ODR131155 ONJ131155:ONN131155 OXF131155:OXJ131155 PHB131155:PHF131155 PQX131155:PRB131155 QAT131155:QAX131155 QKP131155:QKT131155 QUL131155:QUP131155 REH131155:REL131155 ROD131155:ROH131155 RXZ131155:RYD131155 SHV131155:SHZ131155 SRR131155:SRV131155 TBN131155:TBR131155 TLJ131155:TLN131155 TVF131155:TVJ131155 UFB131155:UFF131155 UOX131155:UPB131155 UYT131155:UYX131155 VIP131155:VIT131155 VSL131155:VSP131155 WCH131155:WCL131155 WMD131155:WMH131155 WVZ131155:WWD131155 R196691:V196691 JN196691:JR196691 TJ196691:TN196691 ADF196691:ADJ196691 ANB196691:ANF196691 AWX196691:AXB196691 BGT196691:BGX196691 BQP196691:BQT196691 CAL196691:CAP196691 CKH196691:CKL196691 CUD196691:CUH196691 DDZ196691:DED196691 DNV196691:DNZ196691 DXR196691:DXV196691 EHN196691:EHR196691 ERJ196691:ERN196691 FBF196691:FBJ196691 FLB196691:FLF196691 FUX196691:FVB196691 GET196691:GEX196691 GOP196691:GOT196691 GYL196691:GYP196691 HIH196691:HIL196691 HSD196691:HSH196691 IBZ196691:ICD196691 ILV196691:ILZ196691 IVR196691:IVV196691 JFN196691:JFR196691 JPJ196691:JPN196691 JZF196691:JZJ196691 KJB196691:KJF196691 KSX196691:KTB196691 LCT196691:LCX196691 LMP196691:LMT196691 LWL196691:LWP196691 MGH196691:MGL196691 MQD196691:MQH196691 MZZ196691:NAD196691 NJV196691:NJZ196691 NTR196691:NTV196691 ODN196691:ODR196691 ONJ196691:ONN196691 OXF196691:OXJ196691 PHB196691:PHF196691 PQX196691:PRB196691 QAT196691:QAX196691 QKP196691:QKT196691 QUL196691:QUP196691 REH196691:REL196691 ROD196691:ROH196691 RXZ196691:RYD196691 SHV196691:SHZ196691 SRR196691:SRV196691 TBN196691:TBR196691 TLJ196691:TLN196691 TVF196691:TVJ196691 UFB196691:UFF196691 UOX196691:UPB196691 UYT196691:UYX196691 VIP196691:VIT196691 VSL196691:VSP196691 WCH196691:WCL196691 WMD196691:WMH196691 WVZ196691:WWD196691 R262227:V262227 JN262227:JR262227 TJ262227:TN262227 ADF262227:ADJ262227 ANB262227:ANF262227 AWX262227:AXB262227 BGT262227:BGX262227 BQP262227:BQT262227 CAL262227:CAP262227 CKH262227:CKL262227 CUD262227:CUH262227 DDZ262227:DED262227 DNV262227:DNZ262227 DXR262227:DXV262227 EHN262227:EHR262227 ERJ262227:ERN262227 FBF262227:FBJ262227 FLB262227:FLF262227 FUX262227:FVB262227 GET262227:GEX262227 GOP262227:GOT262227 GYL262227:GYP262227 HIH262227:HIL262227 HSD262227:HSH262227 IBZ262227:ICD262227 ILV262227:ILZ262227 IVR262227:IVV262227 JFN262227:JFR262227 JPJ262227:JPN262227 JZF262227:JZJ262227 KJB262227:KJF262227 KSX262227:KTB262227 LCT262227:LCX262227 LMP262227:LMT262227 LWL262227:LWP262227 MGH262227:MGL262227 MQD262227:MQH262227 MZZ262227:NAD262227 NJV262227:NJZ262227 NTR262227:NTV262227 ODN262227:ODR262227 ONJ262227:ONN262227 OXF262227:OXJ262227 PHB262227:PHF262227 PQX262227:PRB262227 QAT262227:QAX262227 QKP262227:QKT262227 QUL262227:QUP262227 REH262227:REL262227 ROD262227:ROH262227 RXZ262227:RYD262227 SHV262227:SHZ262227 SRR262227:SRV262227 TBN262227:TBR262227 TLJ262227:TLN262227 TVF262227:TVJ262227 UFB262227:UFF262227 UOX262227:UPB262227 UYT262227:UYX262227 VIP262227:VIT262227 VSL262227:VSP262227 WCH262227:WCL262227 WMD262227:WMH262227 WVZ262227:WWD262227 R327763:V327763 JN327763:JR327763 TJ327763:TN327763 ADF327763:ADJ327763 ANB327763:ANF327763 AWX327763:AXB327763 BGT327763:BGX327763 BQP327763:BQT327763 CAL327763:CAP327763 CKH327763:CKL327763 CUD327763:CUH327763 DDZ327763:DED327763 DNV327763:DNZ327763 DXR327763:DXV327763 EHN327763:EHR327763 ERJ327763:ERN327763 FBF327763:FBJ327763 FLB327763:FLF327763 FUX327763:FVB327763 GET327763:GEX327763 GOP327763:GOT327763 GYL327763:GYP327763 HIH327763:HIL327763 HSD327763:HSH327763 IBZ327763:ICD327763 ILV327763:ILZ327763 IVR327763:IVV327763 JFN327763:JFR327763 JPJ327763:JPN327763 JZF327763:JZJ327763 KJB327763:KJF327763 KSX327763:KTB327763 LCT327763:LCX327763 LMP327763:LMT327763 LWL327763:LWP327763 MGH327763:MGL327763 MQD327763:MQH327763 MZZ327763:NAD327763 NJV327763:NJZ327763 NTR327763:NTV327763 ODN327763:ODR327763 ONJ327763:ONN327763 OXF327763:OXJ327763 PHB327763:PHF327763 PQX327763:PRB327763 QAT327763:QAX327763 QKP327763:QKT327763 QUL327763:QUP327763 REH327763:REL327763 ROD327763:ROH327763 RXZ327763:RYD327763 SHV327763:SHZ327763 SRR327763:SRV327763 TBN327763:TBR327763 TLJ327763:TLN327763 TVF327763:TVJ327763 UFB327763:UFF327763 UOX327763:UPB327763 UYT327763:UYX327763 VIP327763:VIT327763 VSL327763:VSP327763 WCH327763:WCL327763 WMD327763:WMH327763 WVZ327763:WWD327763 R393299:V393299 JN393299:JR393299 TJ393299:TN393299 ADF393299:ADJ393299 ANB393299:ANF393299 AWX393299:AXB393299 BGT393299:BGX393299 BQP393299:BQT393299 CAL393299:CAP393299 CKH393299:CKL393299 CUD393299:CUH393299 DDZ393299:DED393299 DNV393299:DNZ393299 DXR393299:DXV393299 EHN393299:EHR393299 ERJ393299:ERN393299 FBF393299:FBJ393299 FLB393299:FLF393299 FUX393299:FVB393299 GET393299:GEX393299 GOP393299:GOT393299 GYL393299:GYP393299 HIH393299:HIL393299 HSD393299:HSH393299 IBZ393299:ICD393299 ILV393299:ILZ393299 IVR393299:IVV393299 JFN393299:JFR393299 JPJ393299:JPN393299 JZF393299:JZJ393299 KJB393299:KJF393299 KSX393299:KTB393299 LCT393299:LCX393299 LMP393299:LMT393299 LWL393299:LWP393299 MGH393299:MGL393299 MQD393299:MQH393299 MZZ393299:NAD393299 NJV393299:NJZ393299 NTR393299:NTV393299 ODN393299:ODR393299 ONJ393299:ONN393299 OXF393299:OXJ393299 PHB393299:PHF393299 PQX393299:PRB393299 QAT393299:QAX393299 QKP393299:QKT393299 QUL393299:QUP393299 REH393299:REL393299 ROD393299:ROH393299 RXZ393299:RYD393299 SHV393299:SHZ393299 SRR393299:SRV393299 TBN393299:TBR393299 TLJ393299:TLN393299 TVF393299:TVJ393299 UFB393299:UFF393299 UOX393299:UPB393299 UYT393299:UYX393299 VIP393299:VIT393299 VSL393299:VSP393299 WCH393299:WCL393299 WMD393299:WMH393299 WVZ393299:WWD393299 R458835:V458835 JN458835:JR458835 TJ458835:TN458835 ADF458835:ADJ458835 ANB458835:ANF458835 AWX458835:AXB458835 BGT458835:BGX458835 BQP458835:BQT458835 CAL458835:CAP458835 CKH458835:CKL458835 CUD458835:CUH458835 DDZ458835:DED458835 DNV458835:DNZ458835 DXR458835:DXV458835 EHN458835:EHR458835 ERJ458835:ERN458835 FBF458835:FBJ458835 FLB458835:FLF458835 FUX458835:FVB458835 GET458835:GEX458835 GOP458835:GOT458835 GYL458835:GYP458835 HIH458835:HIL458835 HSD458835:HSH458835 IBZ458835:ICD458835 ILV458835:ILZ458835 IVR458835:IVV458835 JFN458835:JFR458835 JPJ458835:JPN458835 JZF458835:JZJ458835 KJB458835:KJF458835 KSX458835:KTB458835 LCT458835:LCX458835 LMP458835:LMT458835 LWL458835:LWP458835 MGH458835:MGL458835 MQD458835:MQH458835 MZZ458835:NAD458835 NJV458835:NJZ458835 NTR458835:NTV458835 ODN458835:ODR458835 ONJ458835:ONN458835 OXF458835:OXJ458835 PHB458835:PHF458835 PQX458835:PRB458835 QAT458835:QAX458835 QKP458835:QKT458835 QUL458835:QUP458835 REH458835:REL458835 ROD458835:ROH458835 RXZ458835:RYD458835 SHV458835:SHZ458835 SRR458835:SRV458835 TBN458835:TBR458835 TLJ458835:TLN458835 TVF458835:TVJ458835 UFB458835:UFF458835 UOX458835:UPB458835 UYT458835:UYX458835 VIP458835:VIT458835 VSL458835:VSP458835 WCH458835:WCL458835 WMD458835:WMH458835 WVZ458835:WWD458835 R524371:V524371 JN524371:JR524371 TJ524371:TN524371 ADF524371:ADJ524371 ANB524371:ANF524371 AWX524371:AXB524371 BGT524371:BGX524371 BQP524371:BQT524371 CAL524371:CAP524371 CKH524371:CKL524371 CUD524371:CUH524371 DDZ524371:DED524371 DNV524371:DNZ524371 DXR524371:DXV524371 EHN524371:EHR524371 ERJ524371:ERN524371 FBF524371:FBJ524371 FLB524371:FLF524371 FUX524371:FVB524371 GET524371:GEX524371 GOP524371:GOT524371 GYL524371:GYP524371 HIH524371:HIL524371 HSD524371:HSH524371 IBZ524371:ICD524371 ILV524371:ILZ524371 IVR524371:IVV524371 JFN524371:JFR524371 JPJ524371:JPN524371 JZF524371:JZJ524371 KJB524371:KJF524371 KSX524371:KTB524371 LCT524371:LCX524371 LMP524371:LMT524371 LWL524371:LWP524371 MGH524371:MGL524371 MQD524371:MQH524371 MZZ524371:NAD524371 NJV524371:NJZ524371 NTR524371:NTV524371 ODN524371:ODR524371 ONJ524371:ONN524371 OXF524371:OXJ524371 PHB524371:PHF524371 PQX524371:PRB524371 QAT524371:QAX524371 QKP524371:QKT524371 QUL524371:QUP524371 REH524371:REL524371 ROD524371:ROH524371 RXZ524371:RYD524371 SHV524371:SHZ524371 SRR524371:SRV524371 TBN524371:TBR524371 TLJ524371:TLN524371 TVF524371:TVJ524371 UFB524371:UFF524371 UOX524371:UPB524371 UYT524371:UYX524371 VIP524371:VIT524371 VSL524371:VSP524371 WCH524371:WCL524371 WMD524371:WMH524371 WVZ524371:WWD524371 R589907:V589907 JN589907:JR589907 TJ589907:TN589907 ADF589907:ADJ589907 ANB589907:ANF589907 AWX589907:AXB589907 BGT589907:BGX589907 BQP589907:BQT589907 CAL589907:CAP589907 CKH589907:CKL589907 CUD589907:CUH589907 DDZ589907:DED589907 DNV589907:DNZ589907 DXR589907:DXV589907 EHN589907:EHR589907 ERJ589907:ERN589907 FBF589907:FBJ589907 FLB589907:FLF589907 FUX589907:FVB589907 GET589907:GEX589907 GOP589907:GOT589907 GYL589907:GYP589907 HIH589907:HIL589907 HSD589907:HSH589907 IBZ589907:ICD589907 ILV589907:ILZ589907 IVR589907:IVV589907 JFN589907:JFR589907 JPJ589907:JPN589907 JZF589907:JZJ589907 KJB589907:KJF589907 KSX589907:KTB589907 LCT589907:LCX589907 LMP589907:LMT589907 LWL589907:LWP589907 MGH589907:MGL589907 MQD589907:MQH589907 MZZ589907:NAD589907 NJV589907:NJZ589907 NTR589907:NTV589907 ODN589907:ODR589907 ONJ589907:ONN589907 OXF589907:OXJ589907 PHB589907:PHF589907 PQX589907:PRB589907 QAT589907:QAX589907 QKP589907:QKT589907 QUL589907:QUP589907 REH589907:REL589907 ROD589907:ROH589907 RXZ589907:RYD589907 SHV589907:SHZ589907 SRR589907:SRV589907 TBN589907:TBR589907 TLJ589907:TLN589907 TVF589907:TVJ589907 UFB589907:UFF589907 UOX589907:UPB589907 UYT589907:UYX589907 VIP589907:VIT589907 VSL589907:VSP589907 WCH589907:WCL589907 WMD589907:WMH589907 WVZ589907:WWD589907 R655443:V655443 JN655443:JR655443 TJ655443:TN655443 ADF655443:ADJ655443 ANB655443:ANF655443 AWX655443:AXB655443 BGT655443:BGX655443 BQP655443:BQT655443 CAL655443:CAP655443 CKH655443:CKL655443 CUD655443:CUH655443 DDZ655443:DED655443 DNV655443:DNZ655443 DXR655443:DXV655443 EHN655443:EHR655443 ERJ655443:ERN655443 FBF655443:FBJ655443 FLB655443:FLF655443 FUX655443:FVB655443 GET655443:GEX655443 GOP655443:GOT655443 GYL655443:GYP655443 HIH655443:HIL655443 HSD655443:HSH655443 IBZ655443:ICD655443 ILV655443:ILZ655443 IVR655443:IVV655443 JFN655443:JFR655443 JPJ655443:JPN655443 JZF655443:JZJ655443 KJB655443:KJF655443 KSX655443:KTB655443 LCT655443:LCX655443 LMP655443:LMT655443 LWL655443:LWP655443 MGH655443:MGL655443 MQD655443:MQH655443 MZZ655443:NAD655443 NJV655443:NJZ655443 NTR655443:NTV655443 ODN655443:ODR655443 ONJ655443:ONN655443 OXF655443:OXJ655443 PHB655443:PHF655443 PQX655443:PRB655443 QAT655443:QAX655443 QKP655443:QKT655443 QUL655443:QUP655443 REH655443:REL655443 ROD655443:ROH655443 RXZ655443:RYD655443 SHV655443:SHZ655443 SRR655443:SRV655443 TBN655443:TBR655443 TLJ655443:TLN655443 TVF655443:TVJ655443 UFB655443:UFF655443 UOX655443:UPB655443 UYT655443:UYX655443 VIP655443:VIT655443 VSL655443:VSP655443 WCH655443:WCL655443 WMD655443:WMH655443 WVZ655443:WWD655443 R720979:V720979 JN720979:JR720979 TJ720979:TN720979 ADF720979:ADJ720979 ANB720979:ANF720979 AWX720979:AXB720979 BGT720979:BGX720979 BQP720979:BQT720979 CAL720979:CAP720979 CKH720979:CKL720979 CUD720979:CUH720979 DDZ720979:DED720979 DNV720979:DNZ720979 DXR720979:DXV720979 EHN720979:EHR720979 ERJ720979:ERN720979 FBF720979:FBJ720979 FLB720979:FLF720979 FUX720979:FVB720979 GET720979:GEX720979 GOP720979:GOT720979 GYL720979:GYP720979 HIH720979:HIL720979 HSD720979:HSH720979 IBZ720979:ICD720979 ILV720979:ILZ720979 IVR720979:IVV720979 JFN720979:JFR720979 JPJ720979:JPN720979 JZF720979:JZJ720979 KJB720979:KJF720979 KSX720979:KTB720979 LCT720979:LCX720979 LMP720979:LMT720979 LWL720979:LWP720979 MGH720979:MGL720979 MQD720979:MQH720979 MZZ720979:NAD720979 NJV720979:NJZ720979 NTR720979:NTV720979 ODN720979:ODR720979 ONJ720979:ONN720979 OXF720979:OXJ720979 PHB720979:PHF720979 PQX720979:PRB720979 QAT720979:QAX720979 QKP720979:QKT720979 QUL720979:QUP720979 REH720979:REL720979 ROD720979:ROH720979 RXZ720979:RYD720979 SHV720979:SHZ720979 SRR720979:SRV720979 TBN720979:TBR720979 TLJ720979:TLN720979 TVF720979:TVJ720979 UFB720979:UFF720979 UOX720979:UPB720979 UYT720979:UYX720979 VIP720979:VIT720979 VSL720979:VSP720979 WCH720979:WCL720979 WMD720979:WMH720979 WVZ720979:WWD720979 R786515:V786515 JN786515:JR786515 TJ786515:TN786515 ADF786515:ADJ786515 ANB786515:ANF786515 AWX786515:AXB786515 BGT786515:BGX786515 BQP786515:BQT786515 CAL786515:CAP786515 CKH786515:CKL786515 CUD786515:CUH786515 DDZ786515:DED786515 DNV786515:DNZ786515 DXR786515:DXV786515 EHN786515:EHR786515 ERJ786515:ERN786515 FBF786515:FBJ786515 FLB786515:FLF786515 FUX786515:FVB786515 GET786515:GEX786515 GOP786515:GOT786515 GYL786515:GYP786515 HIH786515:HIL786515 HSD786515:HSH786515 IBZ786515:ICD786515 ILV786515:ILZ786515 IVR786515:IVV786515 JFN786515:JFR786515 JPJ786515:JPN786515 JZF786515:JZJ786515 KJB786515:KJF786515 KSX786515:KTB786515 LCT786515:LCX786515 LMP786515:LMT786515 LWL786515:LWP786515 MGH786515:MGL786515 MQD786515:MQH786515 MZZ786515:NAD786515 NJV786515:NJZ786515 NTR786515:NTV786515 ODN786515:ODR786515 ONJ786515:ONN786515 OXF786515:OXJ786515 PHB786515:PHF786515 PQX786515:PRB786515 QAT786515:QAX786515 QKP786515:QKT786515 QUL786515:QUP786515 REH786515:REL786515 ROD786515:ROH786515 RXZ786515:RYD786515 SHV786515:SHZ786515 SRR786515:SRV786515 TBN786515:TBR786515 TLJ786515:TLN786515 TVF786515:TVJ786515 UFB786515:UFF786515 UOX786515:UPB786515 UYT786515:UYX786515 VIP786515:VIT786515 VSL786515:VSP786515 WCH786515:WCL786515 WMD786515:WMH786515 WVZ786515:WWD786515 R852051:V852051 JN852051:JR852051 TJ852051:TN852051 ADF852051:ADJ852051 ANB852051:ANF852051 AWX852051:AXB852051 BGT852051:BGX852051 BQP852051:BQT852051 CAL852051:CAP852051 CKH852051:CKL852051 CUD852051:CUH852051 DDZ852051:DED852051 DNV852051:DNZ852051 DXR852051:DXV852051 EHN852051:EHR852051 ERJ852051:ERN852051 FBF852051:FBJ852051 FLB852051:FLF852051 FUX852051:FVB852051 GET852051:GEX852051 GOP852051:GOT852051 GYL852051:GYP852051 HIH852051:HIL852051 HSD852051:HSH852051 IBZ852051:ICD852051 ILV852051:ILZ852051 IVR852051:IVV852051 JFN852051:JFR852051 JPJ852051:JPN852051 JZF852051:JZJ852051 KJB852051:KJF852051 KSX852051:KTB852051 LCT852051:LCX852051 LMP852051:LMT852051 LWL852051:LWP852051 MGH852051:MGL852051 MQD852051:MQH852051 MZZ852051:NAD852051 NJV852051:NJZ852051 NTR852051:NTV852051 ODN852051:ODR852051 ONJ852051:ONN852051 OXF852051:OXJ852051 PHB852051:PHF852051 PQX852051:PRB852051 QAT852051:QAX852051 QKP852051:QKT852051 QUL852051:QUP852051 REH852051:REL852051 ROD852051:ROH852051 RXZ852051:RYD852051 SHV852051:SHZ852051 SRR852051:SRV852051 TBN852051:TBR852051 TLJ852051:TLN852051 TVF852051:TVJ852051 UFB852051:UFF852051 UOX852051:UPB852051 UYT852051:UYX852051 VIP852051:VIT852051 VSL852051:VSP852051 WCH852051:WCL852051 WMD852051:WMH852051 WVZ852051:WWD852051 R917587:V917587 JN917587:JR917587 TJ917587:TN917587 ADF917587:ADJ917587 ANB917587:ANF917587 AWX917587:AXB917587 BGT917587:BGX917587 BQP917587:BQT917587 CAL917587:CAP917587 CKH917587:CKL917587 CUD917587:CUH917587 DDZ917587:DED917587 DNV917587:DNZ917587 DXR917587:DXV917587 EHN917587:EHR917587 ERJ917587:ERN917587 FBF917587:FBJ917587 FLB917587:FLF917587 FUX917587:FVB917587 GET917587:GEX917587 GOP917587:GOT917587 GYL917587:GYP917587 HIH917587:HIL917587 HSD917587:HSH917587 IBZ917587:ICD917587 ILV917587:ILZ917587 IVR917587:IVV917587 JFN917587:JFR917587 JPJ917587:JPN917587 JZF917587:JZJ917587 KJB917587:KJF917587 KSX917587:KTB917587 LCT917587:LCX917587 LMP917587:LMT917587 LWL917587:LWP917587 MGH917587:MGL917587 MQD917587:MQH917587 MZZ917587:NAD917587 NJV917587:NJZ917587 NTR917587:NTV917587 ODN917587:ODR917587 ONJ917587:ONN917587 OXF917587:OXJ917587 PHB917587:PHF917587 PQX917587:PRB917587 QAT917587:QAX917587 QKP917587:QKT917587 QUL917587:QUP917587 REH917587:REL917587 ROD917587:ROH917587 RXZ917587:RYD917587 SHV917587:SHZ917587 SRR917587:SRV917587 TBN917587:TBR917587 TLJ917587:TLN917587 TVF917587:TVJ917587 UFB917587:UFF917587 UOX917587:UPB917587 UYT917587:UYX917587 VIP917587:VIT917587 VSL917587:VSP917587 WCH917587:WCL917587 WMD917587:WMH917587 WVZ917587:WWD917587 R983123:V983123 JN983123:JR983123 TJ983123:TN983123 ADF983123:ADJ983123 ANB983123:ANF983123 AWX983123:AXB983123 BGT983123:BGX983123 BQP983123:BQT983123 CAL983123:CAP983123 CKH983123:CKL983123 CUD983123:CUH983123 DDZ983123:DED983123 DNV983123:DNZ983123 DXR983123:DXV983123 EHN983123:EHR983123 ERJ983123:ERN983123 FBF983123:FBJ983123 FLB983123:FLF983123 FUX983123:FVB983123 GET983123:GEX983123 GOP983123:GOT983123 GYL983123:GYP983123 HIH983123:HIL983123 HSD983123:HSH983123 IBZ983123:ICD983123 ILV983123:ILZ983123 IVR983123:IVV983123 JFN983123:JFR983123 JPJ983123:JPN983123 JZF983123:JZJ983123 KJB983123:KJF983123 KSX983123:KTB983123 LCT983123:LCX983123 LMP983123:LMT983123 LWL983123:LWP983123 MGH983123:MGL983123 MQD983123:MQH983123 MZZ983123:NAD983123 NJV983123:NJZ983123 NTR983123:NTV983123 ODN983123:ODR983123 ONJ983123:ONN983123 OXF983123:OXJ983123 PHB983123:PHF983123 PQX983123:PRB983123 QAT983123:QAX983123 QKP983123:QKT983123 QUL983123:QUP983123 REH983123:REL983123 ROD983123:ROH983123 RXZ983123:RYD983123 SHV983123:SHZ983123 SRR983123:SRV983123 TBN983123:TBR983123 TLJ983123:TLN983123 TVF983123:TVJ983123 UFB983123:UFF983123 UOX983123:UPB983123 UYT983123:UYX983123 VIP983123:VIT983123 VSL983123:VSP983123 WCH983123:WCL983123 WMD983123:WMH983123 WVZ983123:WWD983123 J99 JF99 TB99 ACX99 AMT99 AWP99 BGL99 BQH99 CAD99 CJZ99 CTV99 DDR99 DNN99 DXJ99 EHF99 ERB99 FAX99 FKT99 FUP99 GEL99 GOH99 GYD99 HHZ99 HRV99 IBR99 ILN99 IVJ99 JFF99 JPB99 JYX99 KIT99 KSP99 LCL99 LMH99 LWD99 MFZ99 MPV99 MZR99 NJN99 NTJ99 ODF99 ONB99 OWX99 PGT99 PQP99 QAL99 QKH99 QUD99 RDZ99 RNV99 RXR99 SHN99 SRJ99 TBF99 TLB99 TUX99 UET99 UOP99 UYL99 VIH99 VSD99 WBZ99 WLV99 WVR99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G98:W98 JC98:JS98 SY98:TO98 ACU98:ADK98 AMQ98:ANG98 AWM98:AXC98 BGI98:BGY98 BQE98:BQU98 CAA98:CAQ98 CJW98:CKM98 CTS98:CUI98 DDO98:DEE98 DNK98:DOA98 DXG98:DXW98 EHC98:EHS98 EQY98:ERO98 FAU98:FBK98 FKQ98:FLG98 FUM98:FVC98 GEI98:GEY98 GOE98:GOU98 GYA98:GYQ98 HHW98:HIM98 HRS98:HSI98 IBO98:ICE98 ILK98:IMA98 IVG98:IVW98 JFC98:JFS98 JOY98:JPO98 JYU98:JZK98 KIQ98:KJG98 KSM98:KTC98 LCI98:LCY98 LME98:LMU98 LWA98:LWQ98 MFW98:MGM98 MPS98:MQI98 MZO98:NAE98 NJK98:NKA98 NTG98:NTW98 ODC98:ODS98 OMY98:ONO98 OWU98:OXK98 PGQ98:PHG98 PQM98:PRC98 QAI98:QAY98 QKE98:QKU98 QUA98:QUQ98 RDW98:REM98 RNS98:ROI98 RXO98:RYE98 SHK98:SIA98 SRG98:SRW98 TBC98:TBS98 TKY98:TLO98 TUU98:TVK98 UEQ98:UFG98 UOM98:UPC98 UYI98:UYY98 VIE98:VIU98 VSA98:VSQ98 WBW98:WCM98 WLS98:WMI98 WVO98:WWE98 G65634:W65634 JC65634:JS65634 SY65634:TO65634 ACU65634:ADK65634 AMQ65634:ANG65634 AWM65634:AXC65634 BGI65634:BGY65634 BQE65634:BQU65634 CAA65634:CAQ65634 CJW65634:CKM65634 CTS65634:CUI65634 DDO65634:DEE65634 DNK65634:DOA65634 DXG65634:DXW65634 EHC65634:EHS65634 EQY65634:ERO65634 FAU65634:FBK65634 FKQ65634:FLG65634 FUM65634:FVC65634 GEI65634:GEY65634 GOE65634:GOU65634 GYA65634:GYQ65634 HHW65634:HIM65634 HRS65634:HSI65634 IBO65634:ICE65634 ILK65634:IMA65634 IVG65634:IVW65634 JFC65634:JFS65634 JOY65634:JPO65634 JYU65634:JZK65634 KIQ65634:KJG65634 KSM65634:KTC65634 LCI65634:LCY65634 LME65634:LMU65634 LWA65634:LWQ65634 MFW65634:MGM65634 MPS65634:MQI65634 MZO65634:NAE65634 NJK65634:NKA65634 NTG65634:NTW65634 ODC65634:ODS65634 OMY65634:ONO65634 OWU65634:OXK65634 PGQ65634:PHG65634 PQM65634:PRC65634 QAI65634:QAY65634 QKE65634:QKU65634 QUA65634:QUQ65634 RDW65634:REM65634 RNS65634:ROI65634 RXO65634:RYE65634 SHK65634:SIA65634 SRG65634:SRW65634 TBC65634:TBS65634 TKY65634:TLO65634 TUU65634:TVK65634 UEQ65634:UFG65634 UOM65634:UPC65634 UYI65634:UYY65634 VIE65634:VIU65634 VSA65634:VSQ65634 WBW65634:WCM65634 WLS65634:WMI65634 WVO65634:WWE65634 G131170:W131170 JC131170:JS131170 SY131170:TO131170 ACU131170:ADK131170 AMQ131170:ANG131170 AWM131170:AXC131170 BGI131170:BGY131170 BQE131170:BQU131170 CAA131170:CAQ131170 CJW131170:CKM131170 CTS131170:CUI131170 DDO131170:DEE131170 DNK131170:DOA131170 DXG131170:DXW131170 EHC131170:EHS131170 EQY131170:ERO131170 FAU131170:FBK131170 FKQ131170:FLG131170 FUM131170:FVC131170 GEI131170:GEY131170 GOE131170:GOU131170 GYA131170:GYQ131170 HHW131170:HIM131170 HRS131170:HSI131170 IBO131170:ICE131170 ILK131170:IMA131170 IVG131170:IVW131170 JFC131170:JFS131170 JOY131170:JPO131170 JYU131170:JZK131170 KIQ131170:KJG131170 KSM131170:KTC131170 LCI131170:LCY131170 LME131170:LMU131170 LWA131170:LWQ131170 MFW131170:MGM131170 MPS131170:MQI131170 MZO131170:NAE131170 NJK131170:NKA131170 NTG131170:NTW131170 ODC131170:ODS131170 OMY131170:ONO131170 OWU131170:OXK131170 PGQ131170:PHG131170 PQM131170:PRC131170 QAI131170:QAY131170 QKE131170:QKU131170 QUA131170:QUQ131170 RDW131170:REM131170 RNS131170:ROI131170 RXO131170:RYE131170 SHK131170:SIA131170 SRG131170:SRW131170 TBC131170:TBS131170 TKY131170:TLO131170 TUU131170:TVK131170 UEQ131170:UFG131170 UOM131170:UPC131170 UYI131170:UYY131170 VIE131170:VIU131170 VSA131170:VSQ131170 WBW131170:WCM131170 WLS131170:WMI131170 WVO131170:WWE131170 G196706:W196706 JC196706:JS196706 SY196706:TO196706 ACU196706:ADK196706 AMQ196706:ANG196706 AWM196706:AXC196706 BGI196706:BGY196706 BQE196706:BQU196706 CAA196706:CAQ196706 CJW196706:CKM196706 CTS196706:CUI196706 DDO196706:DEE196706 DNK196706:DOA196706 DXG196706:DXW196706 EHC196706:EHS196706 EQY196706:ERO196706 FAU196706:FBK196706 FKQ196706:FLG196706 FUM196706:FVC196706 GEI196706:GEY196706 GOE196706:GOU196706 GYA196706:GYQ196706 HHW196706:HIM196706 HRS196706:HSI196706 IBO196706:ICE196706 ILK196706:IMA196706 IVG196706:IVW196706 JFC196706:JFS196706 JOY196706:JPO196706 JYU196706:JZK196706 KIQ196706:KJG196706 KSM196706:KTC196706 LCI196706:LCY196706 LME196706:LMU196706 LWA196706:LWQ196706 MFW196706:MGM196706 MPS196706:MQI196706 MZO196706:NAE196706 NJK196706:NKA196706 NTG196706:NTW196706 ODC196706:ODS196706 OMY196706:ONO196706 OWU196706:OXK196706 PGQ196706:PHG196706 PQM196706:PRC196706 QAI196706:QAY196706 QKE196706:QKU196706 QUA196706:QUQ196706 RDW196706:REM196706 RNS196706:ROI196706 RXO196706:RYE196706 SHK196706:SIA196706 SRG196706:SRW196706 TBC196706:TBS196706 TKY196706:TLO196706 TUU196706:TVK196706 UEQ196706:UFG196706 UOM196706:UPC196706 UYI196706:UYY196706 VIE196706:VIU196706 VSA196706:VSQ196706 WBW196706:WCM196706 WLS196706:WMI196706 WVO196706:WWE196706 G262242:W262242 JC262242:JS262242 SY262242:TO262242 ACU262242:ADK262242 AMQ262242:ANG262242 AWM262242:AXC262242 BGI262242:BGY262242 BQE262242:BQU262242 CAA262242:CAQ262242 CJW262242:CKM262242 CTS262242:CUI262242 DDO262242:DEE262242 DNK262242:DOA262242 DXG262242:DXW262242 EHC262242:EHS262242 EQY262242:ERO262242 FAU262242:FBK262242 FKQ262242:FLG262242 FUM262242:FVC262242 GEI262242:GEY262242 GOE262242:GOU262242 GYA262242:GYQ262242 HHW262242:HIM262242 HRS262242:HSI262242 IBO262242:ICE262242 ILK262242:IMA262242 IVG262242:IVW262242 JFC262242:JFS262242 JOY262242:JPO262242 JYU262242:JZK262242 KIQ262242:KJG262242 KSM262242:KTC262242 LCI262242:LCY262242 LME262242:LMU262242 LWA262242:LWQ262242 MFW262242:MGM262242 MPS262242:MQI262242 MZO262242:NAE262242 NJK262242:NKA262242 NTG262242:NTW262242 ODC262242:ODS262242 OMY262242:ONO262242 OWU262242:OXK262242 PGQ262242:PHG262242 PQM262242:PRC262242 QAI262242:QAY262242 QKE262242:QKU262242 QUA262242:QUQ262242 RDW262242:REM262242 RNS262242:ROI262242 RXO262242:RYE262242 SHK262242:SIA262242 SRG262242:SRW262242 TBC262242:TBS262242 TKY262242:TLO262242 TUU262242:TVK262242 UEQ262242:UFG262242 UOM262242:UPC262242 UYI262242:UYY262242 VIE262242:VIU262242 VSA262242:VSQ262242 WBW262242:WCM262242 WLS262242:WMI262242 WVO262242:WWE262242 G327778:W327778 JC327778:JS327778 SY327778:TO327778 ACU327778:ADK327778 AMQ327778:ANG327778 AWM327778:AXC327778 BGI327778:BGY327778 BQE327778:BQU327778 CAA327778:CAQ327778 CJW327778:CKM327778 CTS327778:CUI327778 DDO327778:DEE327778 DNK327778:DOA327778 DXG327778:DXW327778 EHC327778:EHS327778 EQY327778:ERO327778 FAU327778:FBK327778 FKQ327778:FLG327778 FUM327778:FVC327778 GEI327778:GEY327778 GOE327778:GOU327778 GYA327778:GYQ327778 HHW327778:HIM327778 HRS327778:HSI327778 IBO327778:ICE327778 ILK327778:IMA327778 IVG327778:IVW327778 JFC327778:JFS327778 JOY327778:JPO327778 JYU327778:JZK327778 KIQ327778:KJG327778 KSM327778:KTC327778 LCI327778:LCY327778 LME327778:LMU327778 LWA327778:LWQ327778 MFW327778:MGM327778 MPS327778:MQI327778 MZO327778:NAE327778 NJK327778:NKA327778 NTG327778:NTW327778 ODC327778:ODS327778 OMY327778:ONO327778 OWU327778:OXK327778 PGQ327778:PHG327778 PQM327778:PRC327778 QAI327778:QAY327778 QKE327778:QKU327778 QUA327778:QUQ327778 RDW327778:REM327778 RNS327778:ROI327778 RXO327778:RYE327778 SHK327778:SIA327778 SRG327778:SRW327778 TBC327778:TBS327778 TKY327778:TLO327778 TUU327778:TVK327778 UEQ327778:UFG327778 UOM327778:UPC327778 UYI327778:UYY327778 VIE327778:VIU327778 VSA327778:VSQ327778 WBW327778:WCM327778 WLS327778:WMI327778 WVO327778:WWE327778 G393314:W393314 JC393314:JS393314 SY393314:TO393314 ACU393314:ADK393314 AMQ393314:ANG393314 AWM393314:AXC393314 BGI393314:BGY393314 BQE393314:BQU393314 CAA393314:CAQ393314 CJW393314:CKM393314 CTS393314:CUI393314 DDO393314:DEE393314 DNK393314:DOA393314 DXG393314:DXW393314 EHC393314:EHS393314 EQY393314:ERO393314 FAU393314:FBK393314 FKQ393314:FLG393314 FUM393314:FVC393314 GEI393314:GEY393314 GOE393314:GOU393314 GYA393314:GYQ393314 HHW393314:HIM393314 HRS393314:HSI393314 IBO393314:ICE393314 ILK393314:IMA393314 IVG393314:IVW393314 JFC393314:JFS393314 JOY393314:JPO393314 JYU393314:JZK393314 KIQ393314:KJG393314 KSM393314:KTC393314 LCI393314:LCY393314 LME393314:LMU393314 LWA393314:LWQ393314 MFW393314:MGM393314 MPS393314:MQI393314 MZO393314:NAE393314 NJK393314:NKA393314 NTG393314:NTW393314 ODC393314:ODS393314 OMY393314:ONO393314 OWU393314:OXK393314 PGQ393314:PHG393314 PQM393314:PRC393314 QAI393314:QAY393314 QKE393314:QKU393314 QUA393314:QUQ393314 RDW393314:REM393314 RNS393314:ROI393314 RXO393314:RYE393314 SHK393314:SIA393314 SRG393314:SRW393314 TBC393314:TBS393314 TKY393314:TLO393314 TUU393314:TVK393314 UEQ393314:UFG393314 UOM393314:UPC393314 UYI393314:UYY393314 VIE393314:VIU393314 VSA393314:VSQ393314 WBW393314:WCM393314 WLS393314:WMI393314 WVO393314:WWE393314 G458850:W458850 JC458850:JS458850 SY458850:TO458850 ACU458850:ADK458850 AMQ458850:ANG458850 AWM458850:AXC458850 BGI458850:BGY458850 BQE458850:BQU458850 CAA458850:CAQ458850 CJW458850:CKM458850 CTS458850:CUI458850 DDO458850:DEE458850 DNK458850:DOA458850 DXG458850:DXW458850 EHC458850:EHS458850 EQY458850:ERO458850 FAU458850:FBK458850 FKQ458850:FLG458850 FUM458850:FVC458850 GEI458850:GEY458850 GOE458850:GOU458850 GYA458850:GYQ458850 HHW458850:HIM458850 HRS458850:HSI458850 IBO458850:ICE458850 ILK458850:IMA458850 IVG458850:IVW458850 JFC458850:JFS458850 JOY458850:JPO458850 JYU458850:JZK458850 KIQ458850:KJG458850 KSM458850:KTC458850 LCI458850:LCY458850 LME458850:LMU458850 LWA458850:LWQ458850 MFW458850:MGM458850 MPS458850:MQI458850 MZO458850:NAE458850 NJK458850:NKA458850 NTG458850:NTW458850 ODC458850:ODS458850 OMY458850:ONO458850 OWU458850:OXK458850 PGQ458850:PHG458850 PQM458850:PRC458850 QAI458850:QAY458850 QKE458850:QKU458850 QUA458850:QUQ458850 RDW458850:REM458850 RNS458850:ROI458850 RXO458850:RYE458850 SHK458850:SIA458850 SRG458850:SRW458850 TBC458850:TBS458850 TKY458850:TLO458850 TUU458850:TVK458850 UEQ458850:UFG458850 UOM458850:UPC458850 UYI458850:UYY458850 VIE458850:VIU458850 VSA458850:VSQ458850 WBW458850:WCM458850 WLS458850:WMI458850 WVO458850:WWE458850 G524386:W524386 JC524386:JS524386 SY524386:TO524386 ACU524386:ADK524386 AMQ524386:ANG524386 AWM524386:AXC524386 BGI524386:BGY524386 BQE524386:BQU524386 CAA524386:CAQ524386 CJW524386:CKM524386 CTS524386:CUI524386 DDO524386:DEE524386 DNK524386:DOA524386 DXG524386:DXW524386 EHC524386:EHS524386 EQY524386:ERO524386 FAU524386:FBK524386 FKQ524386:FLG524386 FUM524386:FVC524386 GEI524386:GEY524386 GOE524386:GOU524386 GYA524386:GYQ524386 HHW524386:HIM524386 HRS524386:HSI524386 IBO524386:ICE524386 ILK524386:IMA524386 IVG524386:IVW524386 JFC524386:JFS524386 JOY524386:JPO524386 JYU524386:JZK524386 KIQ524386:KJG524386 KSM524386:KTC524386 LCI524386:LCY524386 LME524386:LMU524386 LWA524386:LWQ524386 MFW524386:MGM524386 MPS524386:MQI524386 MZO524386:NAE524386 NJK524386:NKA524386 NTG524386:NTW524386 ODC524386:ODS524386 OMY524386:ONO524386 OWU524386:OXK524386 PGQ524386:PHG524386 PQM524386:PRC524386 QAI524386:QAY524386 QKE524386:QKU524386 QUA524386:QUQ524386 RDW524386:REM524386 RNS524386:ROI524386 RXO524386:RYE524386 SHK524386:SIA524386 SRG524386:SRW524386 TBC524386:TBS524386 TKY524386:TLO524386 TUU524386:TVK524386 UEQ524386:UFG524386 UOM524386:UPC524386 UYI524386:UYY524386 VIE524386:VIU524386 VSA524386:VSQ524386 WBW524386:WCM524386 WLS524386:WMI524386 WVO524386:WWE524386 G589922:W589922 JC589922:JS589922 SY589922:TO589922 ACU589922:ADK589922 AMQ589922:ANG589922 AWM589922:AXC589922 BGI589922:BGY589922 BQE589922:BQU589922 CAA589922:CAQ589922 CJW589922:CKM589922 CTS589922:CUI589922 DDO589922:DEE589922 DNK589922:DOA589922 DXG589922:DXW589922 EHC589922:EHS589922 EQY589922:ERO589922 FAU589922:FBK589922 FKQ589922:FLG589922 FUM589922:FVC589922 GEI589922:GEY589922 GOE589922:GOU589922 GYA589922:GYQ589922 HHW589922:HIM589922 HRS589922:HSI589922 IBO589922:ICE589922 ILK589922:IMA589922 IVG589922:IVW589922 JFC589922:JFS589922 JOY589922:JPO589922 JYU589922:JZK589922 KIQ589922:KJG589922 KSM589922:KTC589922 LCI589922:LCY589922 LME589922:LMU589922 LWA589922:LWQ589922 MFW589922:MGM589922 MPS589922:MQI589922 MZO589922:NAE589922 NJK589922:NKA589922 NTG589922:NTW589922 ODC589922:ODS589922 OMY589922:ONO589922 OWU589922:OXK589922 PGQ589922:PHG589922 PQM589922:PRC589922 QAI589922:QAY589922 QKE589922:QKU589922 QUA589922:QUQ589922 RDW589922:REM589922 RNS589922:ROI589922 RXO589922:RYE589922 SHK589922:SIA589922 SRG589922:SRW589922 TBC589922:TBS589922 TKY589922:TLO589922 TUU589922:TVK589922 UEQ589922:UFG589922 UOM589922:UPC589922 UYI589922:UYY589922 VIE589922:VIU589922 VSA589922:VSQ589922 WBW589922:WCM589922 WLS589922:WMI589922 WVO589922:WWE589922 G655458:W655458 JC655458:JS655458 SY655458:TO655458 ACU655458:ADK655458 AMQ655458:ANG655458 AWM655458:AXC655458 BGI655458:BGY655458 BQE655458:BQU655458 CAA655458:CAQ655458 CJW655458:CKM655458 CTS655458:CUI655458 DDO655458:DEE655458 DNK655458:DOA655458 DXG655458:DXW655458 EHC655458:EHS655458 EQY655458:ERO655458 FAU655458:FBK655458 FKQ655458:FLG655458 FUM655458:FVC655458 GEI655458:GEY655458 GOE655458:GOU655458 GYA655458:GYQ655458 HHW655458:HIM655458 HRS655458:HSI655458 IBO655458:ICE655458 ILK655458:IMA655458 IVG655458:IVW655458 JFC655458:JFS655458 JOY655458:JPO655458 JYU655458:JZK655458 KIQ655458:KJG655458 KSM655458:KTC655458 LCI655458:LCY655458 LME655458:LMU655458 LWA655458:LWQ655458 MFW655458:MGM655458 MPS655458:MQI655458 MZO655458:NAE655458 NJK655458:NKA655458 NTG655458:NTW655458 ODC655458:ODS655458 OMY655458:ONO655458 OWU655458:OXK655458 PGQ655458:PHG655458 PQM655458:PRC655458 QAI655458:QAY655458 QKE655458:QKU655458 QUA655458:QUQ655458 RDW655458:REM655458 RNS655458:ROI655458 RXO655458:RYE655458 SHK655458:SIA655458 SRG655458:SRW655458 TBC655458:TBS655458 TKY655458:TLO655458 TUU655458:TVK655458 UEQ655458:UFG655458 UOM655458:UPC655458 UYI655458:UYY655458 VIE655458:VIU655458 VSA655458:VSQ655458 WBW655458:WCM655458 WLS655458:WMI655458 WVO655458:WWE655458 G720994:W720994 JC720994:JS720994 SY720994:TO720994 ACU720994:ADK720994 AMQ720994:ANG720994 AWM720994:AXC720994 BGI720994:BGY720994 BQE720994:BQU720994 CAA720994:CAQ720994 CJW720994:CKM720994 CTS720994:CUI720994 DDO720994:DEE720994 DNK720994:DOA720994 DXG720994:DXW720994 EHC720994:EHS720994 EQY720994:ERO720994 FAU720994:FBK720994 FKQ720994:FLG720994 FUM720994:FVC720994 GEI720994:GEY720994 GOE720994:GOU720994 GYA720994:GYQ720994 HHW720994:HIM720994 HRS720994:HSI720994 IBO720994:ICE720994 ILK720994:IMA720994 IVG720994:IVW720994 JFC720994:JFS720994 JOY720994:JPO720994 JYU720994:JZK720994 KIQ720994:KJG720994 KSM720994:KTC720994 LCI720994:LCY720994 LME720994:LMU720994 LWA720994:LWQ720994 MFW720994:MGM720994 MPS720994:MQI720994 MZO720994:NAE720994 NJK720994:NKA720994 NTG720994:NTW720994 ODC720994:ODS720994 OMY720994:ONO720994 OWU720994:OXK720994 PGQ720994:PHG720994 PQM720994:PRC720994 QAI720994:QAY720994 QKE720994:QKU720994 QUA720994:QUQ720994 RDW720994:REM720994 RNS720994:ROI720994 RXO720994:RYE720994 SHK720994:SIA720994 SRG720994:SRW720994 TBC720994:TBS720994 TKY720994:TLO720994 TUU720994:TVK720994 UEQ720994:UFG720994 UOM720994:UPC720994 UYI720994:UYY720994 VIE720994:VIU720994 VSA720994:VSQ720994 WBW720994:WCM720994 WLS720994:WMI720994 WVO720994:WWE720994 G786530:W786530 JC786530:JS786530 SY786530:TO786530 ACU786530:ADK786530 AMQ786530:ANG786530 AWM786530:AXC786530 BGI786530:BGY786530 BQE786530:BQU786530 CAA786530:CAQ786530 CJW786530:CKM786530 CTS786530:CUI786530 DDO786530:DEE786530 DNK786530:DOA786530 DXG786530:DXW786530 EHC786530:EHS786530 EQY786530:ERO786530 FAU786530:FBK786530 FKQ786530:FLG786530 FUM786530:FVC786530 GEI786530:GEY786530 GOE786530:GOU786530 GYA786530:GYQ786530 HHW786530:HIM786530 HRS786530:HSI786530 IBO786530:ICE786530 ILK786530:IMA786530 IVG786530:IVW786530 JFC786530:JFS786530 JOY786530:JPO786530 JYU786530:JZK786530 KIQ786530:KJG786530 KSM786530:KTC786530 LCI786530:LCY786530 LME786530:LMU786530 LWA786530:LWQ786530 MFW786530:MGM786530 MPS786530:MQI786530 MZO786530:NAE786530 NJK786530:NKA786530 NTG786530:NTW786530 ODC786530:ODS786530 OMY786530:ONO786530 OWU786530:OXK786530 PGQ786530:PHG786530 PQM786530:PRC786530 QAI786530:QAY786530 QKE786530:QKU786530 QUA786530:QUQ786530 RDW786530:REM786530 RNS786530:ROI786530 RXO786530:RYE786530 SHK786530:SIA786530 SRG786530:SRW786530 TBC786530:TBS786530 TKY786530:TLO786530 TUU786530:TVK786530 UEQ786530:UFG786530 UOM786530:UPC786530 UYI786530:UYY786530 VIE786530:VIU786530 VSA786530:VSQ786530 WBW786530:WCM786530 WLS786530:WMI786530 WVO786530:WWE786530 G852066:W852066 JC852066:JS852066 SY852066:TO852066 ACU852066:ADK852066 AMQ852066:ANG852066 AWM852066:AXC852066 BGI852066:BGY852066 BQE852066:BQU852066 CAA852066:CAQ852066 CJW852066:CKM852066 CTS852066:CUI852066 DDO852066:DEE852066 DNK852066:DOA852066 DXG852066:DXW852066 EHC852066:EHS852066 EQY852066:ERO852066 FAU852066:FBK852066 FKQ852066:FLG852066 FUM852066:FVC852066 GEI852066:GEY852066 GOE852066:GOU852066 GYA852066:GYQ852066 HHW852066:HIM852066 HRS852066:HSI852066 IBO852066:ICE852066 ILK852066:IMA852066 IVG852066:IVW852066 JFC852066:JFS852066 JOY852066:JPO852066 JYU852066:JZK852066 KIQ852066:KJG852066 KSM852066:KTC852066 LCI852066:LCY852066 LME852066:LMU852066 LWA852066:LWQ852066 MFW852066:MGM852066 MPS852066:MQI852066 MZO852066:NAE852066 NJK852066:NKA852066 NTG852066:NTW852066 ODC852066:ODS852066 OMY852066:ONO852066 OWU852066:OXK852066 PGQ852066:PHG852066 PQM852066:PRC852066 QAI852066:QAY852066 QKE852066:QKU852066 QUA852066:QUQ852066 RDW852066:REM852066 RNS852066:ROI852066 RXO852066:RYE852066 SHK852066:SIA852066 SRG852066:SRW852066 TBC852066:TBS852066 TKY852066:TLO852066 TUU852066:TVK852066 UEQ852066:UFG852066 UOM852066:UPC852066 UYI852066:UYY852066 VIE852066:VIU852066 VSA852066:VSQ852066 WBW852066:WCM852066 WLS852066:WMI852066 WVO852066:WWE852066 G917602:W917602 JC917602:JS917602 SY917602:TO917602 ACU917602:ADK917602 AMQ917602:ANG917602 AWM917602:AXC917602 BGI917602:BGY917602 BQE917602:BQU917602 CAA917602:CAQ917602 CJW917602:CKM917602 CTS917602:CUI917602 DDO917602:DEE917602 DNK917602:DOA917602 DXG917602:DXW917602 EHC917602:EHS917602 EQY917602:ERO917602 FAU917602:FBK917602 FKQ917602:FLG917602 FUM917602:FVC917602 GEI917602:GEY917602 GOE917602:GOU917602 GYA917602:GYQ917602 HHW917602:HIM917602 HRS917602:HSI917602 IBO917602:ICE917602 ILK917602:IMA917602 IVG917602:IVW917602 JFC917602:JFS917602 JOY917602:JPO917602 JYU917602:JZK917602 KIQ917602:KJG917602 KSM917602:KTC917602 LCI917602:LCY917602 LME917602:LMU917602 LWA917602:LWQ917602 MFW917602:MGM917602 MPS917602:MQI917602 MZO917602:NAE917602 NJK917602:NKA917602 NTG917602:NTW917602 ODC917602:ODS917602 OMY917602:ONO917602 OWU917602:OXK917602 PGQ917602:PHG917602 PQM917602:PRC917602 QAI917602:QAY917602 QKE917602:QKU917602 QUA917602:QUQ917602 RDW917602:REM917602 RNS917602:ROI917602 RXO917602:RYE917602 SHK917602:SIA917602 SRG917602:SRW917602 TBC917602:TBS917602 TKY917602:TLO917602 TUU917602:TVK917602 UEQ917602:UFG917602 UOM917602:UPC917602 UYI917602:UYY917602 VIE917602:VIU917602 VSA917602:VSQ917602 WBW917602:WCM917602 WLS917602:WMI917602 WVO917602:WWE917602 G983138:W983138 JC983138:JS983138 SY983138:TO983138 ACU983138:ADK983138 AMQ983138:ANG983138 AWM983138:AXC983138 BGI983138:BGY983138 BQE983138:BQU983138 CAA983138:CAQ983138 CJW983138:CKM983138 CTS983138:CUI983138 DDO983138:DEE983138 DNK983138:DOA983138 DXG983138:DXW983138 EHC983138:EHS983138 EQY983138:ERO983138 FAU983138:FBK983138 FKQ983138:FLG983138 FUM983138:FVC983138 GEI983138:GEY983138 GOE983138:GOU983138 GYA983138:GYQ983138 HHW983138:HIM983138 HRS983138:HSI983138 IBO983138:ICE983138 ILK983138:IMA983138 IVG983138:IVW983138 JFC983138:JFS983138 JOY983138:JPO983138 JYU983138:JZK983138 KIQ983138:KJG983138 KSM983138:KTC983138 LCI983138:LCY983138 LME983138:LMU983138 LWA983138:LWQ983138 MFW983138:MGM983138 MPS983138:MQI983138 MZO983138:NAE983138 NJK983138:NKA983138 NTG983138:NTW983138 ODC983138:ODS983138 OMY983138:ONO983138 OWU983138:OXK983138 PGQ983138:PHG983138 PQM983138:PRC983138 QAI983138:QAY983138 QKE983138:QKU983138 QUA983138:QUQ983138 RDW983138:REM983138 RNS983138:ROI983138 RXO983138:RYE983138 SHK983138:SIA983138 SRG983138:SRW983138 TBC983138:TBS983138 TKY983138:TLO983138 TUU983138:TVK983138 UEQ983138:UFG983138 UOM983138:UPC983138 UYI983138:UYY983138 VIE983138:VIU983138 VSA983138:VSQ983138 WBW983138:WCM983138 WLS983138:WMI983138 WVO983138:WWE983138 Q91:V91 JM91:JR91 TI91:TN91 ADE91:ADJ91 ANA91:ANF91 AWW91:AXB91 BGS91:BGX91 BQO91:BQT91 CAK91:CAP91 CKG91:CKL91 CUC91:CUH91 DDY91:DED91 DNU91:DNZ91 DXQ91:DXV91 EHM91:EHR91 ERI91:ERN91 FBE91:FBJ91 FLA91:FLF91 FUW91:FVB91 GES91:GEX91 GOO91:GOT91 GYK91:GYP91 HIG91:HIL91 HSC91:HSH91 IBY91:ICD91 ILU91:ILZ91 IVQ91:IVV91 JFM91:JFR91 JPI91:JPN91 JZE91:JZJ91 KJA91:KJF91 KSW91:KTB91 LCS91:LCX91 LMO91:LMT91 LWK91:LWP91 MGG91:MGL91 MQC91:MQH91 MZY91:NAD91 NJU91:NJZ91 NTQ91:NTV91 ODM91:ODR91 ONI91:ONN91 OXE91:OXJ91 PHA91:PHF91 PQW91:PRB91 QAS91:QAX91 QKO91:QKT91 QUK91:QUP91 REG91:REL91 ROC91:ROH91 RXY91:RYD91 SHU91:SHZ91 SRQ91:SRV91 TBM91:TBR91 TLI91:TLN91 TVE91:TVJ91 UFA91:UFF91 UOW91:UPB91 UYS91:UYX91 VIO91:VIT91 VSK91:VSP91 WCG91:WCL91 WMC91:WMH91 WVY91:WWD91 Q65627:V65627 JM65627:JR65627 TI65627:TN65627 ADE65627:ADJ65627 ANA65627:ANF65627 AWW65627:AXB65627 BGS65627:BGX65627 BQO65627:BQT65627 CAK65627:CAP65627 CKG65627:CKL65627 CUC65627:CUH65627 DDY65627:DED65627 DNU65627:DNZ65627 DXQ65627:DXV65627 EHM65627:EHR65627 ERI65627:ERN65627 FBE65627:FBJ65627 FLA65627:FLF65627 FUW65627:FVB65627 GES65627:GEX65627 GOO65627:GOT65627 GYK65627:GYP65627 HIG65627:HIL65627 HSC65627:HSH65627 IBY65627:ICD65627 ILU65627:ILZ65627 IVQ65627:IVV65627 JFM65627:JFR65627 JPI65627:JPN65627 JZE65627:JZJ65627 KJA65627:KJF65627 KSW65627:KTB65627 LCS65627:LCX65627 LMO65627:LMT65627 LWK65627:LWP65627 MGG65627:MGL65627 MQC65627:MQH65627 MZY65627:NAD65627 NJU65627:NJZ65627 NTQ65627:NTV65627 ODM65627:ODR65627 ONI65627:ONN65627 OXE65627:OXJ65627 PHA65627:PHF65627 PQW65627:PRB65627 QAS65627:QAX65627 QKO65627:QKT65627 QUK65627:QUP65627 REG65627:REL65627 ROC65627:ROH65627 RXY65627:RYD65627 SHU65627:SHZ65627 SRQ65627:SRV65627 TBM65627:TBR65627 TLI65627:TLN65627 TVE65627:TVJ65627 UFA65627:UFF65627 UOW65627:UPB65627 UYS65627:UYX65627 VIO65627:VIT65627 VSK65627:VSP65627 WCG65627:WCL65627 WMC65627:WMH65627 WVY65627:WWD65627 Q131163:V131163 JM131163:JR131163 TI131163:TN131163 ADE131163:ADJ131163 ANA131163:ANF131163 AWW131163:AXB131163 BGS131163:BGX131163 BQO131163:BQT131163 CAK131163:CAP131163 CKG131163:CKL131163 CUC131163:CUH131163 DDY131163:DED131163 DNU131163:DNZ131163 DXQ131163:DXV131163 EHM131163:EHR131163 ERI131163:ERN131163 FBE131163:FBJ131163 FLA131163:FLF131163 FUW131163:FVB131163 GES131163:GEX131163 GOO131163:GOT131163 GYK131163:GYP131163 HIG131163:HIL131163 HSC131163:HSH131163 IBY131163:ICD131163 ILU131163:ILZ131163 IVQ131163:IVV131163 JFM131163:JFR131163 JPI131163:JPN131163 JZE131163:JZJ131163 KJA131163:KJF131163 KSW131163:KTB131163 LCS131163:LCX131163 LMO131163:LMT131163 LWK131163:LWP131163 MGG131163:MGL131163 MQC131163:MQH131163 MZY131163:NAD131163 NJU131163:NJZ131163 NTQ131163:NTV131163 ODM131163:ODR131163 ONI131163:ONN131163 OXE131163:OXJ131163 PHA131163:PHF131163 PQW131163:PRB131163 QAS131163:QAX131163 QKO131163:QKT131163 QUK131163:QUP131163 REG131163:REL131163 ROC131163:ROH131163 RXY131163:RYD131163 SHU131163:SHZ131163 SRQ131163:SRV131163 TBM131163:TBR131163 TLI131163:TLN131163 TVE131163:TVJ131163 UFA131163:UFF131163 UOW131163:UPB131163 UYS131163:UYX131163 VIO131163:VIT131163 VSK131163:VSP131163 WCG131163:WCL131163 WMC131163:WMH131163 WVY131163:WWD131163 Q196699:V196699 JM196699:JR196699 TI196699:TN196699 ADE196699:ADJ196699 ANA196699:ANF196699 AWW196699:AXB196699 BGS196699:BGX196699 BQO196699:BQT196699 CAK196699:CAP196699 CKG196699:CKL196699 CUC196699:CUH196699 DDY196699:DED196699 DNU196699:DNZ196699 DXQ196699:DXV196699 EHM196699:EHR196699 ERI196699:ERN196699 FBE196699:FBJ196699 FLA196699:FLF196699 FUW196699:FVB196699 GES196699:GEX196699 GOO196699:GOT196699 GYK196699:GYP196699 HIG196699:HIL196699 HSC196699:HSH196699 IBY196699:ICD196699 ILU196699:ILZ196699 IVQ196699:IVV196699 JFM196699:JFR196699 JPI196699:JPN196699 JZE196699:JZJ196699 KJA196699:KJF196699 KSW196699:KTB196699 LCS196699:LCX196699 LMO196699:LMT196699 LWK196699:LWP196699 MGG196699:MGL196699 MQC196699:MQH196699 MZY196699:NAD196699 NJU196699:NJZ196699 NTQ196699:NTV196699 ODM196699:ODR196699 ONI196699:ONN196699 OXE196699:OXJ196699 PHA196699:PHF196699 PQW196699:PRB196699 QAS196699:QAX196699 QKO196699:QKT196699 QUK196699:QUP196699 REG196699:REL196699 ROC196699:ROH196699 RXY196699:RYD196699 SHU196699:SHZ196699 SRQ196699:SRV196699 TBM196699:TBR196699 TLI196699:TLN196699 TVE196699:TVJ196699 UFA196699:UFF196699 UOW196699:UPB196699 UYS196699:UYX196699 VIO196699:VIT196699 VSK196699:VSP196699 WCG196699:WCL196699 WMC196699:WMH196699 WVY196699:WWD196699 Q262235:V262235 JM262235:JR262235 TI262235:TN262235 ADE262235:ADJ262235 ANA262235:ANF262235 AWW262235:AXB262235 BGS262235:BGX262235 BQO262235:BQT262235 CAK262235:CAP262235 CKG262235:CKL262235 CUC262235:CUH262235 DDY262235:DED262235 DNU262235:DNZ262235 DXQ262235:DXV262235 EHM262235:EHR262235 ERI262235:ERN262235 FBE262235:FBJ262235 FLA262235:FLF262235 FUW262235:FVB262235 GES262235:GEX262235 GOO262235:GOT262235 GYK262235:GYP262235 HIG262235:HIL262235 HSC262235:HSH262235 IBY262235:ICD262235 ILU262235:ILZ262235 IVQ262235:IVV262235 JFM262235:JFR262235 JPI262235:JPN262235 JZE262235:JZJ262235 KJA262235:KJF262235 KSW262235:KTB262235 LCS262235:LCX262235 LMO262235:LMT262235 LWK262235:LWP262235 MGG262235:MGL262235 MQC262235:MQH262235 MZY262235:NAD262235 NJU262235:NJZ262235 NTQ262235:NTV262235 ODM262235:ODR262235 ONI262235:ONN262235 OXE262235:OXJ262235 PHA262235:PHF262235 PQW262235:PRB262235 QAS262235:QAX262235 QKO262235:QKT262235 QUK262235:QUP262235 REG262235:REL262235 ROC262235:ROH262235 RXY262235:RYD262235 SHU262235:SHZ262235 SRQ262235:SRV262235 TBM262235:TBR262235 TLI262235:TLN262235 TVE262235:TVJ262235 UFA262235:UFF262235 UOW262235:UPB262235 UYS262235:UYX262235 VIO262235:VIT262235 VSK262235:VSP262235 WCG262235:WCL262235 WMC262235:WMH262235 WVY262235:WWD262235 Q327771:V327771 JM327771:JR327771 TI327771:TN327771 ADE327771:ADJ327771 ANA327771:ANF327771 AWW327771:AXB327771 BGS327771:BGX327771 BQO327771:BQT327771 CAK327771:CAP327771 CKG327771:CKL327771 CUC327771:CUH327771 DDY327771:DED327771 DNU327771:DNZ327771 DXQ327771:DXV327771 EHM327771:EHR327771 ERI327771:ERN327771 FBE327771:FBJ327771 FLA327771:FLF327771 FUW327771:FVB327771 GES327771:GEX327771 GOO327771:GOT327771 GYK327771:GYP327771 HIG327771:HIL327771 HSC327771:HSH327771 IBY327771:ICD327771 ILU327771:ILZ327771 IVQ327771:IVV327771 JFM327771:JFR327771 JPI327771:JPN327771 JZE327771:JZJ327771 KJA327771:KJF327771 KSW327771:KTB327771 LCS327771:LCX327771 LMO327771:LMT327771 LWK327771:LWP327771 MGG327771:MGL327771 MQC327771:MQH327771 MZY327771:NAD327771 NJU327771:NJZ327771 NTQ327771:NTV327771 ODM327771:ODR327771 ONI327771:ONN327771 OXE327771:OXJ327771 PHA327771:PHF327771 PQW327771:PRB327771 QAS327771:QAX327771 QKO327771:QKT327771 QUK327771:QUP327771 REG327771:REL327771 ROC327771:ROH327771 RXY327771:RYD327771 SHU327771:SHZ327771 SRQ327771:SRV327771 TBM327771:TBR327771 TLI327771:TLN327771 TVE327771:TVJ327771 UFA327771:UFF327771 UOW327771:UPB327771 UYS327771:UYX327771 VIO327771:VIT327771 VSK327771:VSP327771 WCG327771:WCL327771 WMC327771:WMH327771 WVY327771:WWD327771 Q393307:V393307 JM393307:JR393307 TI393307:TN393307 ADE393307:ADJ393307 ANA393307:ANF393307 AWW393307:AXB393307 BGS393307:BGX393307 BQO393307:BQT393307 CAK393307:CAP393307 CKG393307:CKL393307 CUC393307:CUH393307 DDY393307:DED393307 DNU393307:DNZ393307 DXQ393307:DXV393307 EHM393307:EHR393307 ERI393307:ERN393307 FBE393307:FBJ393307 FLA393307:FLF393307 FUW393307:FVB393307 GES393307:GEX393307 GOO393307:GOT393307 GYK393307:GYP393307 HIG393307:HIL393307 HSC393307:HSH393307 IBY393307:ICD393307 ILU393307:ILZ393307 IVQ393307:IVV393307 JFM393307:JFR393307 JPI393307:JPN393307 JZE393307:JZJ393307 KJA393307:KJF393307 KSW393307:KTB393307 LCS393307:LCX393307 LMO393307:LMT393307 LWK393307:LWP393307 MGG393307:MGL393307 MQC393307:MQH393307 MZY393307:NAD393307 NJU393307:NJZ393307 NTQ393307:NTV393307 ODM393307:ODR393307 ONI393307:ONN393307 OXE393307:OXJ393307 PHA393307:PHF393307 PQW393307:PRB393307 QAS393307:QAX393307 QKO393307:QKT393307 QUK393307:QUP393307 REG393307:REL393307 ROC393307:ROH393307 RXY393307:RYD393307 SHU393307:SHZ393307 SRQ393307:SRV393307 TBM393307:TBR393307 TLI393307:TLN393307 TVE393307:TVJ393307 UFA393307:UFF393307 UOW393307:UPB393307 UYS393307:UYX393307 VIO393307:VIT393307 VSK393307:VSP393307 WCG393307:WCL393307 WMC393307:WMH393307 WVY393307:WWD393307 Q458843:V458843 JM458843:JR458843 TI458843:TN458843 ADE458843:ADJ458843 ANA458843:ANF458843 AWW458843:AXB458843 BGS458843:BGX458843 BQO458843:BQT458843 CAK458843:CAP458843 CKG458843:CKL458843 CUC458843:CUH458843 DDY458843:DED458843 DNU458843:DNZ458843 DXQ458843:DXV458843 EHM458843:EHR458843 ERI458843:ERN458843 FBE458843:FBJ458843 FLA458843:FLF458843 FUW458843:FVB458843 GES458843:GEX458843 GOO458843:GOT458843 GYK458843:GYP458843 HIG458843:HIL458843 HSC458843:HSH458843 IBY458843:ICD458843 ILU458843:ILZ458843 IVQ458843:IVV458843 JFM458843:JFR458843 JPI458843:JPN458843 JZE458843:JZJ458843 KJA458843:KJF458843 KSW458843:KTB458843 LCS458843:LCX458843 LMO458843:LMT458843 LWK458843:LWP458843 MGG458843:MGL458843 MQC458843:MQH458843 MZY458843:NAD458843 NJU458843:NJZ458843 NTQ458843:NTV458843 ODM458843:ODR458843 ONI458843:ONN458843 OXE458843:OXJ458843 PHA458843:PHF458843 PQW458843:PRB458843 QAS458843:QAX458843 QKO458843:QKT458843 QUK458843:QUP458843 REG458843:REL458843 ROC458843:ROH458843 RXY458843:RYD458843 SHU458843:SHZ458843 SRQ458843:SRV458843 TBM458843:TBR458843 TLI458843:TLN458843 TVE458843:TVJ458843 UFA458843:UFF458843 UOW458843:UPB458843 UYS458843:UYX458843 VIO458843:VIT458843 VSK458843:VSP458843 WCG458843:WCL458843 WMC458843:WMH458843 WVY458843:WWD458843 Q524379:V524379 JM524379:JR524379 TI524379:TN524379 ADE524379:ADJ524379 ANA524379:ANF524379 AWW524379:AXB524379 BGS524379:BGX524379 BQO524379:BQT524379 CAK524379:CAP524379 CKG524379:CKL524379 CUC524379:CUH524379 DDY524379:DED524379 DNU524379:DNZ524379 DXQ524379:DXV524379 EHM524379:EHR524379 ERI524379:ERN524379 FBE524379:FBJ524379 FLA524379:FLF524379 FUW524379:FVB524379 GES524379:GEX524379 GOO524379:GOT524379 GYK524379:GYP524379 HIG524379:HIL524379 HSC524379:HSH524379 IBY524379:ICD524379 ILU524379:ILZ524379 IVQ524379:IVV524379 JFM524379:JFR524379 JPI524379:JPN524379 JZE524379:JZJ524379 KJA524379:KJF524379 KSW524379:KTB524379 LCS524379:LCX524379 LMO524379:LMT524379 LWK524379:LWP524379 MGG524379:MGL524379 MQC524379:MQH524379 MZY524379:NAD524379 NJU524379:NJZ524379 NTQ524379:NTV524379 ODM524379:ODR524379 ONI524379:ONN524379 OXE524379:OXJ524379 PHA524379:PHF524379 PQW524379:PRB524379 QAS524379:QAX524379 QKO524379:QKT524379 QUK524379:QUP524379 REG524379:REL524379 ROC524379:ROH524379 RXY524379:RYD524379 SHU524379:SHZ524379 SRQ524379:SRV524379 TBM524379:TBR524379 TLI524379:TLN524379 TVE524379:TVJ524379 UFA524379:UFF524379 UOW524379:UPB524379 UYS524379:UYX524379 VIO524379:VIT524379 VSK524379:VSP524379 WCG524379:WCL524379 WMC524379:WMH524379 WVY524379:WWD524379 Q589915:V589915 JM589915:JR589915 TI589915:TN589915 ADE589915:ADJ589915 ANA589915:ANF589915 AWW589915:AXB589915 BGS589915:BGX589915 BQO589915:BQT589915 CAK589915:CAP589915 CKG589915:CKL589915 CUC589915:CUH589915 DDY589915:DED589915 DNU589915:DNZ589915 DXQ589915:DXV589915 EHM589915:EHR589915 ERI589915:ERN589915 FBE589915:FBJ589915 FLA589915:FLF589915 FUW589915:FVB589915 GES589915:GEX589915 GOO589915:GOT589915 GYK589915:GYP589915 HIG589915:HIL589915 HSC589915:HSH589915 IBY589915:ICD589915 ILU589915:ILZ589915 IVQ589915:IVV589915 JFM589915:JFR589915 JPI589915:JPN589915 JZE589915:JZJ589915 KJA589915:KJF589915 KSW589915:KTB589915 LCS589915:LCX589915 LMO589915:LMT589915 LWK589915:LWP589915 MGG589915:MGL589915 MQC589915:MQH589915 MZY589915:NAD589915 NJU589915:NJZ589915 NTQ589915:NTV589915 ODM589915:ODR589915 ONI589915:ONN589915 OXE589915:OXJ589915 PHA589915:PHF589915 PQW589915:PRB589915 QAS589915:QAX589915 QKO589915:QKT589915 QUK589915:QUP589915 REG589915:REL589915 ROC589915:ROH589915 RXY589915:RYD589915 SHU589915:SHZ589915 SRQ589915:SRV589915 TBM589915:TBR589915 TLI589915:TLN589915 TVE589915:TVJ589915 UFA589915:UFF589915 UOW589915:UPB589915 UYS589915:UYX589915 VIO589915:VIT589915 VSK589915:VSP589915 WCG589915:WCL589915 WMC589915:WMH589915 WVY589915:WWD589915 Q655451:V655451 JM655451:JR655451 TI655451:TN655451 ADE655451:ADJ655451 ANA655451:ANF655451 AWW655451:AXB655451 BGS655451:BGX655451 BQO655451:BQT655451 CAK655451:CAP655451 CKG655451:CKL655451 CUC655451:CUH655451 DDY655451:DED655451 DNU655451:DNZ655451 DXQ655451:DXV655451 EHM655451:EHR655451 ERI655451:ERN655451 FBE655451:FBJ655451 FLA655451:FLF655451 FUW655451:FVB655451 GES655451:GEX655451 GOO655451:GOT655451 GYK655451:GYP655451 HIG655451:HIL655451 HSC655451:HSH655451 IBY655451:ICD655451 ILU655451:ILZ655451 IVQ655451:IVV655451 JFM655451:JFR655451 JPI655451:JPN655451 JZE655451:JZJ655451 KJA655451:KJF655451 KSW655451:KTB655451 LCS655451:LCX655451 LMO655451:LMT655451 LWK655451:LWP655451 MGG655451:MGL655451 MQC655451:MQH655451 MZY655451:NAD655451 NJU655451:NJZ655451 NTQ655451:NTV655451 ODM655451:ODR655451 ONI655451:ONN655451 OXE655451:OXJ655451 PHA655451:PHF655451 PQW655451:PRB655451 QAS655451:QAX655451 QKO655451:QKT655451 QUK655451:QUP655451 REG655451:REL655451 ROC655451:ROH655451 RXY655451:RYD655451 SHU655451:SHZ655451 SRQ655451:SRV655451 TBM655451:TBR655451 TLI655451:TLN655451 TVE655451:TVJ655451 UFA655451:UFF655451 UOW655451:UPB655451 UYS655451:UYX655451 VIO655451:VIT655451 VSK655451:VSP655451 WCG655451:WCL655451 WMC655451:WMH655451 WVY655451:WWD655451 Q720987:V720987 JM720987:JR720987 TI720987:TN720987 ADE720987:ADJ720987 ANA720987:ANF720987 AWW720987:AXB720987 BGS720987:BGX720987 BQO720987:BQT720987 CAK720987:CAP720987 CKG720987:CKL720987 CUC720987:CUH720987 DDY720987:DED720987 DNU720987:DNZ720987 DXQ720987:DXV720987 EHM720987:EHR720987 ERI720987:ERN720987 FBE720987:FBJ720987 FLA720987:FLF720987 FUW720987:FVB720987 GES720987:GEX720987 GOO720987:GOT720987 GYK720987:GYP720987 HIG720987:HIL720987 HSC720987:HSH720987 IBY720987:ICD720987 ILU720987:ILZ720987 IVQ720987:IVV720987 JFM720987:JFR720987 JPI720987:JPN720987 JZE720987:JZJ720987 KJA720987:KJF720987 KSW720987:KTB720987 LCS720987:LCX720987 LMO720987:LMT720987 LWK720987:LWP720987 MGG720987:MGL720987 MQC720987:MQH720987 MZY720987:NAD720987 NJU720987:NJZ720987 NTQ720987:NTV720987 ODM720987:ODR720987 ONI720987:ONN720987 OXE720987:OXJ720987 PHA720987:PHF720987 PQW720987:PRB720987 QAS720987:QAX720987 QKO720987:QKT720987 QUK720987:QUP720987 REG720987:REL720987 ROC720987:ROH720987 RXY720987:RYD720987 SHU720987:SHZ720987 SRQ720987:SRV720987 TBM720987:TBR720987 TLI720987:TLN720987 TVE720987:TVJ720987 UFA720987:UFF720987 UOW720987:UPB720987 UYS720987:UYX720987 VIO720987:VIT720987 VSK720987:VSP720987 WCG720987:WCL720987 WMC720987:WMH720987 WVY720987:WWD720987 Q786523:V786523 JM786523:JR786523 TI786523:TN786523 ADE786523:ADJ786523 ANA786523:ANF786523 AWW786523:AXB786523 BGS786523:BGX786523 BQO786523:BQT786523 CAK786523:CAP786523 CKG786523:CKL786523 CUC786523:CUH786523 DDY786523:DED786523 DNU786523:DNZ786523 DXQ786523:DXV786523 EHM786523:EHR786523 ERI786523:ERN786523 FBE786523:FBJ786523 FLA786523:FLF786523 FUW786523:FVB786523 GES786523:GEX786523 GOO786523:GOT786523 GYK786523:GYP786523 HIG786523:HIL786523 HSC786523:HSH786523 IBY786523:ICD786523 ILU786523:ILZ786523 IVQ786523:IVV786523 JFM786523:JFR786523 JPI786523:JPN786523 JZE786523:JZJ786523 KJA786523:KJF786523 KSW786523:KTB786523 LCS786523:LCX786523 LMO786523:LMT786523 LWK786523:LWP786523 MGG786523:MGL786523 MQC786523:MQH786523 MZY786523:NAD786523 NJU786523:NJZ786523 NTQ786523:NTV786523 ODM786523:ODR786523 ONI786523:ONN786523 OXE786523:OXJ786523 PHA786523:PHF786523 PQW786523:PRB786523 QAS786523:QAX786523 QKO786523:QKT786523 QUK786523:QUP786523 REG786523:REL786523 ROC786523:ROH786523 RXY786523:RYD786523 SHU786523:SHZ786523 SRQ786523:SRV786523 TBM786523:TBR786523 TLI786523:TLN786523 TVE786523:TVJ786523 UFA786523:UFF786523 UOW786523:UPB786523 UYS786523:UYX786523 VIO786523:VIT786523 VSK786523:VSP786523 WCG786523:WCL786523 WMC786523:WMH786523 WVY786523:WWD786523 Q852059:V852059 JM852059:JR852059 TI852059:TN852059 ADE852059:ADJ852059 ANA852059:ANF852059 AWW852059:AXB852059 BGS852059:BGX852059 BQO852059:BQT852059 CAK852059:CAP852059 CKG852059:CKL852059 CUC852059:CUH852059 DDY852059:DED852059 DNU852059:DNZ852059 DXQ852059:DXV852059 EHM852059:EHR852059 ERI852059:ERN852059 FBE852059:FBJ852059 FLA852059:FLF852059 FUW852059:FVB852059 GES852059:GEX852059 GOO852059:GOT852059 GYK852059:GYP852059 HIG852059:HIL852059 HSC852059:HSH852059 IBY852059:ICD852059 ILU852059:ILZ852059 IVQ852059:IVV852059 JFM852059:JFR852059 JPI852059:JPN852059 JZE852059:JZJ852059 KJA852059:KJF852059 KSW852059:KTB852059 LCS852059:LCX852059 LMO852059:LMT852059 LWK852059:LWP852059 MGG852059:MGL852059 MQC852059:MQH852059 MZY852059:NAD852059 NJU852059:NJZ852059 NTQ852059:NTV852059 ODM852059:ODR852059 ONI852059:ONN852059 OXE852059:OXJ852059 PHA852059:PHF852059 PQW852059:PRB852059 QAS852059:QAX852059 QKO852059:QKT852059 QUK852059:QUP852059 REG852059:REL852059 ROC852059:ROH852059 RXY852059:RYD852059 SHU852059:SHZ852059 SRQ852059:SRV852059 TBM852059:TBR852059 TLI852059:TLN852059 TVE852059:TVJ852059 UFA852059:UFF852059 UOW852059:UPB852059 UYS852059:UYX852059 VIO852059:VIT852059 VSK852059:VSP852059 WCG852059:WCL852059 WMC852059:WMH852059 WVY852059:WWD852059 Q917595:V917595 JM917595:JR917595 TI917595:TN917595 ADE917595:ADJ917595 ANA917595:ANF917595 AWW917595:AXB917595 BGS917595:BGX917595 BQO917595:BQT917595 CAK917595:CAP917595 CKG917595:CKL917595 CUC917595:CUH917595 DDY917595:DED917595 DNU917595:DNZ917595 DXQ917595:DXV917595 EHM917595:EHR917595 ERI917595:ERN917595 FBE917595:FBJ917595 FLA917595:FLF917595 FUW917595:FVB917595 GES917595:GEX917595 GOO917595:GOT917595 GYK917595:GYP917595 HIG917595:HIL917595 HSC917595:HSH917595 IBY917595:ICD917595 ILU917595:ILZ917595 IVQ917595:IVV917595 JFM917595:JFR917595 JPI917595:JPN917595 JZE917595:JZJ917595 KJA917595:KJF917595 KSW917595:KTB917595 LCS917595:LCX917595 LMO917595:LMT917595 LWK917595:LWP917595 MGG917595:MGL917595 MQC917595:MQH917595 MZY917595:NAD917595 NJU917595:NJZ917595 NTQ917595:NTV917595 ODM917595:ODR917595 ONI917595:ONN917595 OXE917595:OXJ917595 PHA917595:PHF917595 PQW917595:PRB917595 QAS917595:QAX917595 QKO917595:QKT917595 QUK917595:QUP917595 REG917595:REL917595 ROC917595:ROH917595 RXY917595:RYD917595 SHU917595:SHZ917595 SRQ917595:SRV917595 TBM917595:TBR917595 TLI917595:TLN917595 TVE917595:TVJ917595 UFA917595:UFF917595 UOW917595:UPB917595 UYS917595:UYX917595 VIO917595:VIT917595 VSK917595:VSP917595 WCG917595:WCL917595 WMC917595:WMH917595 WVY917595:WWD917595 Q983131:V983131 JM983131:JR983131 TI983131:TN983131 ADE983131:ADJ983131 ANA983131:ANF983131 AWW983131:AXB983131 BGS983131:BGX983131 BQO983131:BQT983131 CAK983131:CAP983131 CKG983131:CKL983131 CUC983131:CUH983131 DDY983131:DED983131 DNU983131:DNZ983131 DXQ983131:DXV983131 EHM983131:EHR983131 ERI983131:ERN983131 FBE983131:FBJ983131 FLA983131:FLF983131 FUW983131:FVB983131 GES983131:GEX983131 GOO983131:GOT983131 GYK983131:GYP983131 HIG983131:HIL983131 HSC983131:HSH983131 IBY983131:ICD983131 ILU983131:ILZ983131 IVQ983131:IVV983131 JFM983131:JFR983131 JPI983131:JPN983131 JZE983131:JZJ983131 KJA983131:KJF983131 KSW983131:KTB983131 LCS983131:LCX983131 LMO983131:LMT983131 LWK983131:LWP983131 MGG983131:MGL983131 MQC983131:MQH983131 MZY983131:NAD983131 NJU983131:NJZ983131 NTQ983131:NTV983131 ODM983131:ODR983131 ONI983131:ONN983131 OXE983131:OXJ983131 PHA983131:PHF983131 PQW983131:PRB983131 QAS983131:QAX983131 QKO983131:QKT983131 QUK983131:QUP983131 REG983131:REL983131 ROC983131:ROH983131 RXY983131:RYD983131 SHU983131:SHZ983131 SRQ983131:SRV983131 TBM983131:TBR983131 TLI983131:TLN983131 TVE983131:TVJ983131 UFA983131:UFF983131 UOW983131:UPB983131 UYS983131:UYX983131 VIO983131:VIT983131 VSK983131:VSP983131 WCG983131:WCL983131 WMC983131:WMH983131 WVY983131:WWD983131 R93:V93 JN93:JR93 TJ93:TN93 ADF93:ADJ93 ANB93:ANF93 AWX93:AXB93 BGT93:BGX93 BQP93:BQT93 CAL93:CAP93 CKH93:CKL93 CUD93:CUH93 DDZ93:DED93 DNV93:DNZ93 DXR93:DXV93 EHN93:EHR93 ERJ93:ERN93 FBF93:FBJ93 FLB93:FLF93 FUX93:FVB93 GET93:GEX93 GOP93:GOT93 GYL93:GYP93 HIH93:HIL93 HSD93:HSH93 IBZ93:ICD93 ILV93:ILZ93 IVR93:IVV93 JFN93:JFR93 JPJ93:JPN93 JZF93:JZJ93 KJB93:KJF93 KSX93:KTB93 LCT93:LCX93 LMP93:LMT93 LWL93:LWP93 MGH93:MGL93 MQD93:MQH93 MZZ93:NAD93 NJV93:NJZ93 NTR93:NTV93 ODN93:ODR93 ONJ93:ONN93 OXF93:OXJ93 PHB93:PHF93 PQX93:PRB93 QAT93:QAX93 QKP93:QKT93 QUL93:QUP93 REH93:REL93 ROD93:ROH93 RXZ93:RYD93 SHV93:SHZ93 SRR93:SRV93 TBN93:TBR93 TLJ93:TLN93 TVF93:TVJ93 UFB93:UFF93 UOX93:UPB93 UYT93:UYX93 VIP93:VIT93 VSL93:VSP93 WCH93:WCL93 WMD93:WMH93 WVZ93:WWD93 R65629:V65629 JN65629:JR65629 TJ65629:TN65629 ADF65629:ADJ65629 ANB65629:ANF65629 AWX65629:AXB65629 BGT65629:BGX65629 BQP65629:BQT65629 CAL65629:CAP65629 CKH65629:CKL65629 CUD65629:CUH65629 DDZ65629:DED65629 DNV65629:DNZ65629 DXR65629:DXV65629 EHN65629:EHR65629 ERJ65629:ERN65629 FBF65629:FBJ65629 FLB65629:FLF65629 FUX65629:FVB65629 GET65629:GEX65629 GOP65629:GOT65629 GYL65629:GYP65629 HIH65629:HIL65629 HSD65629:HSH65629 IBZ65629:ICD65629 ILV65629:ILZ65629 IVR65629:IVV65629 JFN65629:JFR65629 JPJ65629:JPN65629 JZF65629:JZJ65629 KJB65629:KJF65629 KSX65629:KTB65629 LCT65629:LCX65629 LMP65629:LMT65629 LWL65629:LWP65629 MGH65629:MGL65629 MQD65629:MQH65629 MZZ65629:NAD65629 NJV65629:NJZ65629 NTR65629:NTV65629 ODN65629:ODR65629 ONJ65629:ONN65629 OXF65629:OXJ65629 PHB65629:PHF65629 PQX65629:PRB65629 QAT65629:QAX65629 QKP65629:QKT65629 QUL65629:QUP65629 REH65629:REL65629 ROD65629:ROH65629 RXZ65629:RYD65629 SHV65629:SHZ65629 SRR65629:SRV65629 TBN65629:TBR65629 TLJ65629:TLN65629 TVF65629:TVJ65629 UFB65629:UFF65629 UOX65629:UPB65629 UYT65629:UYX65629 VIP65629:VIT65629 VSL65629:VSP65629 WCH65629:WCL65629 WMD65629:WMH65629 WVZ65629:WWD65629 R131165:V131165 JN131165:JR131165 TJ131165:TN131165 ADF131165:ADJ131165 ANB131165:ANF131165 AWX131165:AXB131165 BGT131165:BGX131165 BQP131165:BQT131165 CAL131165:CAP131165 CKH131165:CKL131165 CUD131165:CUH131165 DDZ131165:DED131165 DNV131165:DNZ131165 DXR131165:DXV131165 EHN131165:EHR131165 ERJ131165:ERN131165 FBF131165:FBJ131165 FLB131165:FLF131165 FUX131165:FVB131165 GET131165:GEX131165 GOP131165:GOT131165 GYL131165:GYP131165 HIH131165:HIL131165 HSD131165:HSH131165 IBZ131165:ICD131165 ILV131165:ILZ131165 IVR131165:IVV131165 JFN131165:JFR131165 JPJ131165:JPN131165 JZF131165:JZJ131165 KJB131165:KJF131165 KSX131165:KTB131165 LCT131165:LCX131165 LMP131165:LMT131165 LWL131165:LWP131165 MGH131165:MGL131165 MQD131165:MQH131165 MZZ131165:NAD131165 NJV131165:NJZ131165 NTR131165:NTV131165 ODN131165:ODR131165 ONJ131165:ONN131165 OXF131165:OXJ131165 PHB131165:PHF131165 PQX131165:PRB131165 QAT131165:QAX131165 QKP131165:QKT131165 QUL131165:QUP131165 REH131165:REL131165 ROD131165:ROH131165 RXZ131165:RYD131165 SHV131165:SHZ131165 SRR131165:SRV131165 TBN131165:TBR131165 TLJ131165:TLN131165 TVF131165:TVJ131165 UFB131165:UFF131165 UOX131165:UPB131165 UYT131165:UYX131165 VIP131165:VIT131165 VSL131165:VSP131165 WCH131165:WCL131165 WMD131165:WMH131165 WVZ131165:WWD131165 R196701:V196701 JN196701:JR196701 TJ196701:TN196701 ADF196701:ADJ196701 ANB196701:ANF196701 AWX196701:AXB196701 BGT196701:BGX196701 BQP196701:BQT196701 CAL196701:CAP196701 CKH196701:CKL196701 CUD196701:CUH196701 DDZ196701:DED196701 DNV196701:DNZ196701 DXR196701:DXV196701 EHN196701:EHR196701 ERJ196701:ERN196701 FBF196701:FBJ196701 FLB196701:FLF196701 FUX196701:FVB196701 GET196701:GEX196701 GOP196701:GOT196701 GYL196701:GYP196701 HIH196701:HIL196701 HSD196701:HSH196701 IBZ196701:ICD196701 ILV196701:ILZ196701 IVR196701:IVV196701 JFN196701:JFR196701 JPJ196701:JPN196701 JZF196701:JZJ196701 KJB196701:KJF196701 KSX196701:KTB196701 LCT196701:LCX196701 LMP196701:LMT196701 LWL196701:LWP196701 MGH196701:MGL196701 MQD196701:MQH196701 MZZ196701:NAD196701 NJV196701:NJZ196701 NTR196701:NTV196701 ODN196701:ODR196701 ONJ196701:ONN196701 OXF196701:OXJ196701 PHB196701:PHF196701 PQX196701:PRB196701 QAT196701:QAX196701 QKP196701:QKT196701 QUL196701:QUP196701 REH196701:REL196701 ROD196701:ROH196701 RXZ196701:RYD196701 SHV196701:SHZ196701 SRR196701:SRV196701 TBN196701:TBR196701 TLJ196701:TLN196701 TVF196701:TVJ196701 UFB196701:UFF196701 UOX196701:UPB196701 UYT196701:UYX196701 VIP196701:VIT196701 VSL196701:VSP196701 WCH196701:WCL196701 WMD196701:WMH196701 WVZ196701:WWD196701 R262237:V262237 JN262237:JR262237 TJ262237:TN262237 ADF262237:ADJ262237 ANB262237:ANF262237 AWX262237:AXB262237 BGT262237:BGX262237 BQP262237:BQT262237 CAL262237:CAP262237 CKH262237:CKL262237 CUD262237:CUH262237 DDZ262237:DED262237 DNV262237:DNZ262237 DXR262237:DXV262237 EHN262237:EHR262237 ERJ262237:ERN262237 FBF262237:FBJ262237 FLB262237:FLF262237 FUX262237:FVB262237 GET262237:GEX262237 GOP262237:GOT262237 GYL262237:GYP262237 HIH262237:HIL262237 HSD262237:HSH262237 IBZ262237:ICD262237 ILV262237:ILZ262237 IVR262237:IVV262237 JFN262237:JFR262237 JPJ262237:JPN262237 JZF262237:JZJ262237 KJB262237:KJF262237 KSX262237:KTB262237 LCT262237:LCX262237 LMP262237:LMT262237 LWL262237:LWP262237 MGH262237:MGL262237 MQD262237:MQH262237 MZZ262237:NAD262237 NJV262237:NJZ262237 NTR262237:NTV262237 ODN262237:ODR262237 ONJ262237:ONN262237 OXF262237:OXJ262237 PHB262237:PHF262237 PQX262237:PRB262237 QAT262237:QAX262237 QKP262237:QKT262237 QUL262237:QUP262237 REH262237:REL262237 ROD262237:ROH262237 RXZ262237:RYD262237 SHV262237:SHZ262237 SRR262237:SRV262237 TBN262237:TBR262237 TLJ262237:TLN262237 TVF262237:TVJ262237 UFB262237:UFF262237 UOX262237:UPB262237 UYT262237:UYX262237 VIP262237:VIT262237 VSL262237:VSP262237 WCH262237:WCL262237 WMD262237:WMH262237 WVZ262237:WWD262237 R327773:V327773 JN327773:JR327773 TJ327773:TN327773 ADF327773:ADJ327773 ANB327773:ANF327773 AWX327773:AXB327773 BGT327773:BGX327773 BQP327773:BQT327773 CAL327773:CAP327773 CKH327773:CKL327773 CUD327773:CUH327773 DDZ327773:DED327773 DNV327773:DNZ327773 DXR327773:DXV327773 EHN327773:EHR327773 ERJ327773:ERN327773 FBF327773:FBJ327773 FLB327773:FLF327773 FUX327773:FVB327773 GET327773:GEX327773 GOP327773:GOT327773 GYL327773:GYP327773 HIH327773:HIL327773 HSD327773:HSH327773 IBZ327773:ICD327773 ILV327773:ILZ327773 IVR327773:IVV327773 JFN327773:JFR327773 JPJ327773:JPN327773 JZF327773:JZJ327773 KJB327773:KJF327773 KSX327773:KTB327773 LCT327773:LCX327773 LMP327773:LMT327773 LWL327773:LWP327773 MGH327773:MGL327773 MQD327773:MQH327773 MZZ327773:NAD327773 NJV327773:NJZ327773 NTR327773:NTV327773 ODN327773:ODR327773 ONJ327773:ONN327773 OXF327773:OXJ327773 PHB327773:PHF327773 PQX327773:PRB327773 QAT327773:QAX327773 QKP327773:QKT327773 QUL327773:QUP327773 REH327773:REL327773 ROD327773:ROH327773 RXZ327773:RYD327773 SHV327773:SHZ327773 SRR327773:SRV327773 TBN327773:TBR327773 TLJ327773:TLN327773 TVF327773:TVJ327773 UFB327773:UFF327773 UOX327773:UPB327773 UYT327773:UYX327773 VIP327773:VIT327773 VSL327773:VSP327773 WCH327773:WCL327773 WMD327773:WMH327773 WVZ327773:WWD327773 R393309:V393309 JN393309:JR393309 TJ393309:TN393309 ADF393309:ADJ393309 ANB393309:ANF393309 AWX393309:AXB393309 BGT393309:BGX393309 BQP393309:BQT393309 CAL393309:CAP393309 CKH393309:CKL393309 CUD393309:CUH393309 DDZ393309:DED393309 DNV393309:DNZ393309 DXR393309:DXV393309 EHN393309:EHR393309 ERJ393309:ERN393309 FBF393309:FBJ393309 FLB393309:FLF393309 FUX393309:FVB393309 GET393309:GEX393309 GOP393309:GOT393309 GYL393309:GYP393309 HIH393309:HIL393309 HSD393309:HSH393309 IBZ393309:ICD393309 ILV393309:ILZ393309 IVR393309:IVV393309 JFN393309:JFR393309 JPJ393309:JPN393309 JZF393309:JZJ393309 KJB393309:KJF393309 KSX393309:KTB393309 LCT393309:LCX393309 LMP393309:LMT393309 LWL393309:LWP393309 MGH393309:MGL393309 MQD393309:MQH393309 MZZ393309:NAD393309 NJV393309:NJZ393309 NTR393309:NTV393309 ODN393309:ODR393309 ONJ393309:ONN393309 OXF393309:OXJ393309 PHB393309:PHF393309 PQX393309:PRB393309 QAT393309:QAX393309 QKP393309:QKT393309 QUL393309:QUP393309 REH393309:REL393309 ROD393309:ROH393309 RXZ393309:RYD393309 SHV393309:SHZ393309 SRR393309:SRV393309 TBN393309:TBR393309 TLJ393309:TLN393309 TVF393309:TVJ393309 UFB393309:UFF393309 UOX393309:UPB393309 UYT393309:UYX393309 VIP393309:VIT393309 VSL393309:VSP393309 WCH393309:WCL393309 WMD393309:WMH393309 WVZ393309:WWD393309 R458845:V458845 JN458845:JR458845 TJ458845:TN458845 ADF458845:ADJ458845 ANB458845:ANF458845 AWX458845:AXB458845 BGT458845:BGX458845 BQP458845:BQT458845 CAL458845:CAP458845 CKH458845:CKL458845 CUD458845:CUH458845 DDZ458845:DED458845 DNV458845:DNZ458845 DXR458845:DXV458845 EHN458845:EHR458845 ERJ458845:ERN458845 FBF458845:FBJ458845 FLB458845:FLF458845 FUX458845:FVB458845 GET458845:GEX458845 GOP458845:GOT458845 GYL458845:GYP458845 HIH458845:HIL458845 HSD458845:HSH458845 IBZ458845:ICD458845 ILV458845:ILZ458845 IVR458845:IVV458845 JFN458845:JFR458845 JPJ458845:JPN458845 JZF458845:JZJ458845 KJB458845:KJF458845 KSX458845:KTB458845 LCT458845:LCX458845 LMP458845:LMT458845 LWL458845:LWP458845 MGH458845:MGL458845 MQD458845:MQH458845 MZZ458845:NAD458845 NJV458845:NJZ458845 NTR458845:NTV458845 ODN458845:ODR458845 ONJ458845:ONN458845 OXF458845:OXJ458845 PHB458845:PHF458845 PQX458845:PRB458845 QAT458845:QAX458845 QKP458845:QKT458845 QUL458845:QUP458845 REH458845:REL458845 ROD458845:ROH458845 RXZ458845:RYD458845 SHV458845:SHZ458845 SRR458845:SRV458845 TBN458845:TBR458845 TLJ458845:TLN458845 TVF458845:TVJ458845 UFB458845:UFF458845 UOX458845:UPB458845 UYT458845:UYX458845 VIP458845:VIT458845 VSL458845:VSP458845 WCH458845:WCL458845 WMD458845:WMH458845 WVZ458845:WWD458845 R524381:V524381 JN524381:JR524381 TJ524381:TN524381 ADF524381:ADJ524381 ANB524381:ANF524381 AWX524381:AXB524381 BGT524381:BGX524381 BQP524381:BQT524381 CAL524381:CAP524381 CKH524381:CKL524381 CUD524381:CUH524381 DDZ524381:DED524381 DNV524381:DNZ524381 DXR524381:DXV524381 EHN524381:EHR524381 ERJ524381:ERN524381 FBF524381:FBJ524381 FLB524381:FLF524381 FUX524381:FVB524381 GET524381:GEX524381 GOP524381:GOT524381 GYL524381:GYP524381 HIH524381:HIL524381 HSD524381:HSH524381 IBZ524381:ICD524381 ILV524381:ILZ524381 IVR524381:IVV524381 JFN524381:JFR524381 JPJ524381:JPN524381 JZF524381:JZJ524381 KJB524381:KJF524381 KSX524381:KTB524381 LCT524381:LCX524381 LMP524381:LMT524381 LWL524381:LWP524381 MGH524381:MGL524381 MQD524381:MQH524381 MZZ524381:NAD524381 NJV524381:NJZ524381 NTR524381:NTV524381 ODN524381:ODR524381 ONJ524381:ONN524381 OXF524381:OXJ524381 PHB524381:PHF524381 PQX524381:PRB524381 QAT524381:QAX524381 QKP524381:QKT524381 QUL524381:QUP524381 REH524381:REL524381 ROD524381:ROH524381 RXZ524381:RYD524381 SHV524381:SHZ524381 SRR524381:SRV524381 TBN524381:TBR524381 TLJ524381:TLN524381 TVF524381:TVJ524381 UFB524381:UFF524381 UOX524381:UPB524381 UYT524381:UYX524381 VIP524381:VIT524381 VSL524381:VSP524381 WCH524381:WCL524381 WMD524381:WMH524381 WVZ524381:WWD524381 R589917:V589917 JN589917:JR589917 TJ589917:TN589917 ADF589917:ADJ589917 ANB589917:ANF589917 AWX589917:AXB589917 BGT589917:BGX589917 BQP589917:BQT589917 CAL589917:CAP589917 CKH589917:CKL589917 CUD589917:CUH589917 DDZ589917:DED589917 DNV589917:DNZ589917 DXR589917:DXV589917 EHN589917:EHR589917 ERJ589917:ERN589917 FBF589917:FBJ589917 FLB589917:FLF589917 FUX589917:FVB589917 GET589917:GEX589917 GOP589917:GOT589917 GYL589917:GYP589917 HIH589917:HIL589917 HSD589917:HSH589917 IBZ589917:ICD589917 ILV589917:ILZ589917 IVR589917:IVV589917 JFN589917:JFR589917 JPJ589917:JPN589917 JZF589917:JZJ589917 KJB589917:KJF589917 KSX589917:KTB589917 LCT589917:LCX589917 LMP589917:LMT589917 LWL589917:LWP589917 MGH589917:MGL589917 MQD589917:MQH589917 MZZ589917:NAD589917 NJV589917:NJZ589917 NTR589917:NTV589917 ODN589917:ODR589917 ONJ589917:ONN589917 OXF589917:OXJ589917 PHB589917:PHF589917 PQX589917:PRB589917 QAT589917:QAX589917 QKP589917:QKT589917 QUL589917:QUP589917 REH589917:REL589917 ROD589917:ROH589917 RXZ589917:RYD589917 SHV589917:SHZ589917 SRR589917:SRV589917 TBN589917:TBR589917 TLJ589917:TLN589917 TVF589917:TVJ589917 UFB589917:UFF589917 UOX589917:UPB589917 UYT589917:UYX589917 VIP589917:VIT589917 VSL589917:VSP589917 WCH589917:WCL589917 WMD589917:WMH589917 WVZ589917:WWD589917 R655453:V655453 JN655453:JR655453 TJ655453:TN655453 ADF655453:ADJ655453 ANB655453:ANF655453 AWX655453:AXB655453 BGT655453:BGX655453 BQP655453:BQT655453 CAL655453:CAP655453 CKH655453:CKL655453 CUD655453:CUH655453 DDZ655453:DED655453 DNV655453:DNZ655453 DXR655453:DXV655453 EHN655453:EHR655453 ERJ655453:ERN655453 FBF655453:FBJ655453 FLB655453:FLF655453 FUX655453:FVB655453 GET655453:GEX655453 GOP655453:GOT655453 GYL655453:GYP655453 HIH655453:HIL655453 HSD655453:HSH655453 IBZ655453:ICD655453 ILV655453:ILZ655453 IVR655453:IVV655453 JFN655453:JFR655453 JPJ655453:JPN655453 JZF655453:JZJ655453 KJB655453:KJF655453 KSX655453:KTB655453 LCT655453:LCX655453 LMP655453:LMT655453 LWL655453:LWP655453 MGH655453:MGL655453 MQD655453:MQH655453 MZZ655453:NAD655453 NJV655453:NJZ655453 NTR655453:NTV655453 ODN655453:ODR655453 ONJ655453:ONN655453 OXF655453:OXJ655453 PHB655453:PHF655453 PQX655453:PRB655453 QAT655453:QAX655453 QKP655453:QKT655453 QUL655453:QUP655453 REH655453:REL655453 ROD655453:ROH655453 RXZ655453:RYD655453 SHV655453:SHZ655453 SRR655453:SRV655453 TBN655453:TBR655453 TLJ655453:TLN655453 TVF655453:TVJ655453 UFB655453:UFF655453 UOX655453:UPB655453 UYT655453:UYX655453 VIP655453:VIT655453 VSL655453:VSP655453 WCH655453:WCL655453 WMD655453:WMH655453 WVZ655453:WWD655453 R720989:V720989 JN720989:JR720989 TJ720989:TN720989 ADF720989:ADJ720989 ANB720989:ANF720989 AWX720989:AXB720989 BGT720989:BGX720989 BQP720989:BQT720989 CAL720989:CAP720989 CKH720989:CKL720989 CUD720989:CUH720989 DDZ720989:DED720989 DNV720989:DNZ720989 DXR720989:DXV720989 EHN720989:EHR720989 ERJ720989:ERN720989 FBF720989:FBJ720989 FLB720989:FLF720989 FUX720989:FVB720989 GET720989:GEX720989 GOP720989:GOT720989 GYL720989:GYP720989 HIH720989:HIL720989 HSD720989:HSH720989 IBZ720989:ICD720989 ILV720989:ILZ720989 IVR720989:IVV720989 JFN720989:JFR720989 JPJ720989:JPN720989 JZF720989:JZJ720989 KJB720989:KJF720989 KSX720989:KTB720989 LCT720989:LCX720989 LMP720989:LMT720989 LWL720989:LWP720989 MGH720989:MGL720989 MQD720989:MQH720989 MZZ720989:NAD720989 NJV720989:NJZ720989 NTR720989:NTV720989 ODN720989:ODR720989 ONJ720989:ONN720989 OXF720989:OXJ720989 PHB720989:PHF720989 PQX720989:PRB720989 QAT720989:QAX720989 QKP720989:QKT720989 QUL720989:QUP720989 REH720989:REL720989 ROD720989:ROH720989 RXZ720989:RYD720989 SHV720989:SHZ720989 SRR720989:SRV720989 TBN720989:TBR720989 TLJ720989:TLN720989 TVF720989:TVJ720989 UFB720989:UFF720989 UOX720989:UPB720989 UYT720989:UYX720989 VIP720989:VIT720989 VSL720989:VSP720989 WCH720989:WCL720989 WMD720989:WMH720989 WVZ720989:WWD720989 R786525:V786525 JN786525:JR786525 TJ786525:TN786525 ADF786525:ADJ786525 ANB786525:ANF786525 AWX786525:AXB786525 BGT786525:BGX786525 BQP786525:BQT786525 CAL786525:CAP786525 CKH786525:CKL786525 CUD786525:CUH786525 DDZ786525:DED786525 DNV786525:DNZ786525 DXR786525:DXV786525 EHN786525:EHR786525 ERJ786525:ERN786525 FBF786525:FBJ786525 FLB786525:FLF786525 FUX786525:FVB786525 GET786525:GEX786525 GOP786525:GOT786525 GYL786525:GYP786525 HIH786525:HIL786525 HSD786525:HSH786525 IBZ786525:ICD786525 ILV786525:ILZ786525 IVR786525:IVV786525 JFN786525:JFR786525 JPJ786525:JPN786525 JZF786525:JZJ786525 KJB786525:KJF786525 KSX786525:KTB786525 LCT786525:LCX786525 LMP786525:LMT786525 LWL786525:LWP786525 MGH786525:MGL786525 MQD786525:MQH786525 MZZ786525:NAD786525 NJV786525:NJZ786525 NTR786525:NTV786525 ODN786525:ODR786525 ONJ786525:ONN786525 OXF786525:OXJ786525 PHB786525:PHF786525 PQX786525:PRB786525 QAT786525:QAX786525 QKP786525:QKT786525 QUL786525:QUP786525 REH786525:REL786525 ROD786525:ROH786525 RXZ786525:RYD786525 SHV786525:SHZ786525 SRR786525:SRV786525 TBN786525:TBR786525 TLJ786525:TLN786525 TVF786525:TVJ786525 UFB786525:UFF786525 UOX786525:UPB786525 UYT786525:UYX786525 VIP786525:VIT786525 VSL786525:VSP786525 WCH786525:WCL786525 WMD786525:WMH786525 WVZ786525:WWD786525 R852061:V852061 JN852061:JR852061 TJ852061:TN852061 ADF852061:ADJ852061 ANB852061:ANF852061 AWX852061:AXB852061 BGT852061:BGX852061 BQP852061:BQT852061 CAL852061:CAP852061 CKH852061:CKL852061 CUD852061:CUH852061 DDZ852061:DED852061 DNV852061:DNZ852061 DXR852061:DXV852061 EHN852061:EHR852061 ERJ852061:ERN852061 FBF852061:FBJ852061 FLB852061:FLF852061 FUX852061:FVB852061 GET852061:GEX852061 GOP852061:GOT852061 GYL852061:GYP852061 HIH852061:HIL852061 HSD852061:HSH852061 IBZ852061:ICD852061 ILV852061:ILZ852061 IVR852061:IVV852061 JFN852061:JFR852061 JPJ852061:JPN852061 JZF852061:JZJ852061 KJB852061:KJF852061 KSX852061:KTB852061 LCT852061:LCX852061 LMP852061:LMT852061 LWL852061:LWP852061 MGH852061:MGL852061 MQD852061:MQH852061 MZZ852061:NAD852061 NJV852061:NJZ852061 NTR852061:NTV852061 ODN852061:ODR852061 ONJ852061:ONN852061 OXF852061:OXJ852061 PHB852061:PHF852061 PQX852061:PRB852061 QAT852061:QAX852061 QKP852061:QKT852061 QUL852061:QUP852061 REH852061:REL852061 ROD852061:ROH852061 RXZ852061:RYD852061 SHV852061:SHZ852061 SRR852061:SRV852061 TBN852061:TBR852061 TLJ852061:TLN852061 TVF852061:TVJ852061 UFB852061:UFF852061 UOX852061:UPB852061 UYT852061:UYX852061 VIP852061:VIT852061 VSL852061:VSP852061 WCH852061:WCL852061 WMD852061:WMH852061 WVZ852061:WWD852061 R917597:V917597 JN917597:JR917597 TJ917597:TN917597 ADF917597:ADJ917597 ANB917597:ANF917597 AWX917597:AXB917597 BGT917597:BGX917597 BQP917597:BQT917597 CAL917597:CAP917597 CKH917597:CKL917597 CUD917597:CUH917597 DDZ917597:DED917597 DNV917597:DNZ917597 DXR917597:DXV917597 EHN917597:EHR917597 ERJ917597:ERN917597 FBF917597:FBJ917597 FLB917597:FLF917597 FUX917597:FVB917597 GET917597:GEX917597 GOP917597:GOT917597 GYL917597:GYP917597 HIH917597:HIL917597 HSD917597:HSH917597 IBZ917597:ICD917597 ILV917597:ILZ917597 IVR917597:IVV917597 JFN917597:JFR917597 JPJ917597:JPN917597 JZF917597:JZJ917597 KJB917597:KJF917597 KSX917597:KTB917597 LCT917597:LCX917597 LMP917597:LMT917597 LWL917597:LWP917597 MGH917597:MGL917597 MQD917597:MQH917597 MZZ917597:NAD917597 NJV917597:NJZ917597 NTR917597:NTV917597 ODN917597:ODR917597 ONJ917597:ONN917597 OXF917597:OXJ917597 PHB917597:PHF917597 PQX917597:PRB917597 QAT917597:QAX917597 QKP917597:QKT917597 QUL917597:QUP917597 REH917597:REL917597 ROD917597:ROH917597 RXZ917597:RYD917597 SHV917597:SHZ917597 SRR917597:SRV917597 TBN917597:TBR917597 TLJ917597:TLN917597 TVF917597:TVJ917597 UFB917597:UFF917597 UOX917597:UPB917597 UYT917597:UYX917597 VIP917597:VIT917597 VSL917597:VSP917597 WCH917597:WCL917597 WMD917597:WMH917597 WVZ917597:WWD917597 R983133:V983133 JN983133:JR983133 TJ983133:TN983133 ADF983133:ADJ983133 ANB983133:ANF983133 AWX983133:AXB983133 BGT983133:BGX983133 BQP983133:BQT983133 CAL983133:CAP983133 CKH983133:CKL983133 CUD983133:CUH983133 DDZ983133:DED983133 DNV983133:DNZ983133 DXR983133:DXV983133 EHN983133:EHR983133 ERJ983133:ERN983133 FBF983133:FBJ983133 FLB983133:FLF983133 FUX983133:FVB983133 GET983133:GEX983133 GOP983133:GOT983133 GYL983133:GYP983133 HIH983133:HIL983133 HSD983133:HSH983133 IBZ983133:ICD983133 ILV983133:ILZ983133 IVR983133:IVV983133 JFN983133:JFR983133 JPJ983133:JPN983133 JZF983133:JZJ983133 KJB983133:KJF983133 KSX983133:KTB983133 LCT983133:LCX983133 LMP983133:LMT983133 LWL983133:LWP983133 MGH983133:MGL983133 MQD983133:MQH983133 MZZ983133:NAD983133 NJV983133:NJZ983133 NTR983133:NTV983133 ODN983133:ODR983133 ONJ983133:ONN983133 OXF983133:OXJ983133 PHB983133:PHF983133 PQX983133:PRB983133 QAT983133:QAX983133 QKP983133:QKT983133 QUL983133:QUP983133 REH983133:REL983133 ROD983133:ROH983133 RXZ983133:RYD983133 SHV983133:SHZ983133 SRR983133:SRV983133 TBN983133:TBR983133 TLJ983133:TLN983133 TVF983133:TVJ983133 UFB983133:UFF983133 UOX983133:UPB983133 UYT983133:UYX983133 VIP983133:VIT983133 VSL983133:VSP983133 WCH983133:WCL983133 WMD983133:WMH983133 WVZ983133:WWD983133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G108:W108 JC108:JS108 SY108:TO108 ACU108:ADK108 AMQ108:ANG108 AWM108:AXC108 BGI108:BGY108 BQE108:BQU108 CAA108:CAQ108 CJW108:CKM108 CTS108:CUI108 DDO108:DEE108 DNK108:DOA108 DXG108:DXW108 EHC108:EHS108 EQY108:ERO108 FAU108:FBK108 FKQ108:FLG108 FUM108:FVC108 GEI108:GEY108 GOE108:GOU108 GYA108:GYQ108 HHW108:HIM108 HRS108:HSI108 IBO108:ICE108 ILK108:IMA108 IVG108:IVW108 JFC108:JFS108 JOY108:JPO108 JYU108:JZK108 KIQ108:KJG108 KSM108:KTC108 LCI108:LCY108 LME108:LMU108 LWA108:LWQ108 MFW108:MGM108 MPS108:MQI108 MZO108:NAE108 NJK108:NKA108 NTG108:NTW108 ODC108:ODS108 OMY108:ONO108 OWU108:OXK108 PGQ108:PHG108 PQM108:PRC108 QAI108:QAY108 QKE108:QKU108 QUA108:QUQ108 RDW108:REM108 RNS108:ROI108 RXO108:RYE108 SHK108:SIA108 SRG108:SRW108 TBC108:TBS108 TKY108:TLO108 TUU108:TVK108 UEQ108:UFG108 UOM108:UPC108 UYI108:UYY108 VIE108:VIU108 VSA108:VSQ108 WBW108:WCM108 WLS108:WMI108 WVO108:WWE108 G65644:W65644 JC65644:JS65644 SY65644:TO65644 ACU65644:ADK65644 AMQ65644:ANG65644 AWM65644:AXC65644 BGI65644:BGY65644 BQE65644:BQU65644 CAA65644:CAQ65644 CJW65644:CKM65644 CTS65644:CUI65644 DDO65644:DEE65644 DNK65644:DOA65644 DXG65644:DXW65644 EHC65644:EHS65644 EQY65644:ERO65644 FAU65644:FBK65644 FKQ65644:FLG65644 FUM65644:FVC65644 GEI65644:GEY65644 GOE65644:GOU65644 GYA65644:GYQ65644 HHW65644:HIM65644 HRS65644:HSI65644 IBO65644:ICE65644 ILK65644:IMA65644 IVG65644:IVW65644 JFC65644:JFS65644 JOY65644:JPO65644 JYU65644:JZK65644 KIQ65644:KJG65644 KSM65644:KTC65644 LCI65644:LCY65644 LME65644:LMU65644 LWA65644:LWQ65644 MFW65644:MGM65644 MPS65644:MQI65644 MZO65644:NAE65644 NJK65644:NKA65644 NTG65644:NTW65644 ODC65644:ODS65644 OMY65644:ONO65644 OWU65644:OXK65644 PGQ65644:PHG65644 PQM65644:PRC65644 QAI65644:QAY65644 QKE65644:QKU65644 QUA65644:QUQ65644 RDW65644:REM65644 RNS65644:ROI65644 RXO65644:RYE65644 SHK65644:SIA65644 SRG65644:SRW65644 TBC65644:TBS65644 TKY65644:TLO65644 TUU65644:TVK65644 UEQ65644:UFG65644 UOM65644:UPC65644 UYI65644:UYY65644 VIE65644:VIU65644 VSA65644:VSQ65644 WBW65644:WCM65644 WLS65644:WMI65644 WVO65644:WWE65644 G131180:W131180 JC131180:JS131180 SY131180:TO131180 ACU131180:ADK131180 AMQ131180:ANG131180 AWM131180:AXC131180 BGI131180:BGY131180 BQE131180:BQU131180 CAA131180:CAQ131180 CJW131180:CKM131180 CTS131180:CUI131180 DDO131180:DEE131180 DNK131180:DOA131180 DXG131180:DXW131180 EHC131180:EHS131180 EQY131180:ERO131180 FAU131180:FBK131180 FKQ131180:FLG131180 FUM131180:FVC131180 GEI131180:GEY131180 GOE131180:GOU131180 GYA131180:GYQ131180 HHW131180:HIM131180 HRS131180:HSI131180 IBO131180:ICE131180 ILK131180:IMA131180 IVG131180:IVW131180 JFC131180:JFS131180 JOY131180:JPO131180 JYU131180:JZK131180 KIQ131180:KJG131180 KSM131180:KTC131180 LCI131180:LCY131180 LME131180:LMU131180 LWA131180:LWQ131180 MFW131180:MGM131180 MPS131180:MQI131180 MZO131180:NAE131180 NJK131180:NKA131180 NTG131180:NTW131180 ODC131180:ODS131180 OMY131180:ONO131180 OWU131180:OXK131180 PGQ131180:PHG131180 PQM131180:PRC131180 QAI131180:QAY131180 QKE131180:QKU131180 QUA131180:QUQ131180 RDW131180:REM131180 RNS131180:ROI131180 RXO131180:RYE131180 SHK131180:SIA131180 SRG131180:SRW131180 TBC131180:TBS131180 TKY131180:TLO131180 TUU131180:TVK131180 UEQ131180:UFG131180 UOM131180:UPC131180 UYI131180:UYY131180 VIE131180:VIU131180 VSA131180:VSQ131180 WBW131180:WCM131180 WLS131180:WMI131180 WVO131180:WWE131180 G196716:W196716 JC196716:JS196716 SY196716:TO196716 ACU196716:ADK196716 AMQ196716:ANG196716 AWM196716:AXC196716 BGI196716:BGY196716 BQE196716:BQU196716 CAA196716:CAQ196716 CJW196716:CKM196716 CTS196716:CUI196716 DDO196716:DEE196716 DNK196716:DOA196716 DXG196716:DXW196716 EHC196716:EHS196716 EQY196716:ERO196716 FAU196716:FBK196716 FKQ196716:FLG196716 FUM196716:FVC196716 GEI196716:GEY196716 GOE196716:GOU196716 GYA196716:GYQ196716 HHW196716:HIM196716 HRS196716:HSI196716 IBO196716:ICE196716 ILK196716:IMA196716 IVG196716:IVW196716 JFC196716:JFS196716 JOY196716:JPO196716 JYU196716:JZK196716 KIQ196716:KJG196716 KSM196716:KTC196716 LCI196716:LCY196716 LME196716:LMU196716 LWA196716:LWQ196716 MFW196716:MGM196716 MPS196716:MQI196716 MZO196716:NAE196716 NJK196716:NKA196716 NTG196716:NTW196716 ODC196716:ODS196716 OMY196716:ONO196716 OWU196716:OXK196716 PGQ196716:PHG196716 PQM196716:PRC196716 QAI196716:QAY196716 QKE196716:QKU196716 QUA196716:QUQ196716 RDW196716:REM196716 RNS196716:ROI196716 RXO196716:RYE196716 SHK196716:SIA196716 SRG196716:SRW196716 TBC196716:TBS196716 TKY196716:TLO196716 TUU196716:TVK196716 UEQ196716:UFG196716 UOM196716:UPC196716 UYI196716:UYY196716 VIE196716:VIU196716 VSA196716:VSQ196716 WBW196716:WCM196716 WLS196716:WMI196716 WVO196716:WWE196716 G262252:W262252 JC262252:JS262252 SY262252:TO262252 ACU262252:ADK262252 AMQ262252:ANG262252 AWM262252:AXC262252 BGI262252:BGY262252 BQE262252:BQU262252 CAA262252:CAQ262252 CJW262252:CKM262252 CTS262252:CUI262252 DDO262252:DEE262252 DNK262252:DOA262252 DXG262252:DXW262252 EHC262252:EHS262252 EQY262252:ERO262252 FAU262252:FBK262252 FKQ262252:FLG262252 FUM262252:FVC262252 GEI262252:GEY262252 GOE262252:GOU262252 GYA262252:GYQ262252 HHW262252:HIM262252 HRS262252:HSI262252 IBO262252:ICE262252 ILK262252:IMA262252 IVG262252:IVW262252 JFC262252:JFS262252 JOY262252:JPO262252 JYU262252:JZK262252 KIQ262252:KJG262252 KSM262252:KTC262252 LCI262252:LCY262252 LME262252:LMU262252 LWA262252:LWQ262252 MFW262252:MGM262252 MPS262252:MQI262252 MZO262252:NAE262252 NJK262252:NKA262252 NTG262252:NTW262252 ODC262252:ODS262252 OMY262252:ONO262252 OWU262252:OXK262252 PGQ262252:PHG262252 PQM262252:PRC262252 QAI262252:QAY262252 QKE262252:QKU262252 QUA262252:QUQ262252 RDW262252:REM262252 RNS262252:ROI262252 RXO262252:RYE262252 SHK262252:SIA262252 SRG262252:SRW262252 TBC262252:TBS262252 TKY262252:TLO262252 TUU262252:TVK262252 UEQ262252:UFG262252 UOM262252:UPC262252 UYI262252:UYY262252 VIE262252:VIU262252 VSA262252:VSQ262252 WBW262252:WCM262252 WLS262252:WMI262252 WVO262252:WWE262252 G327788:W327788 JC327788:JS327788 SY327788:TO327788 ACU327788:ADK327788 AMQ327788:ANG327788 AWM327788:AXC327788 BGI327788:BGY327788 BQE327788:BQU327788 CAA327788:CAQ327788 CJW327788:CKM327788 CTS327788:CUI327788 DDO327788:DEE327788 DNK327788:DOA327788 DXG327788:DXW327788 EHC327788:EHS327788 EQY327788:ERO327788 FAU327788:FBK327788 FKQ327788:FLG327788 FUM327788:FVC327788 GEI327788:GEY327788 GOE327788:GOU327788 GYA327788:GYQ327788 HHW327788:HIM327788 HRS327788:HSI327788 IBO327788:ICE327788 ILK327788:IMA327788 IVG327788:IVW327788 JFC327788:JFS327788 JOY327788:JPO327788 JYU327788:JZK327788 KIQ327788:KJG327788 KSM327788:KTC327788 LCI327788:LCY327788 LME327788:LMU327788 LWA327788:LWQ327788 MFW327788:MGM327788 MPS327788:MQI327788 MZO327788:NAE327788 NJK327788:NKA327788 NTG327788:NTW327788 ODC327788:ODS327788 OMY327788:ONO327788 OWU327788:OXK327788 PGQ327788:PHG327788 PQM327788:PRC327788 QAI327788:QAY327788 QKE327788:QKU327788 QUA327788:QUQ327788 RDW327788:REM327788 RNS327788:ROI327788 RXO327788:RYE327788 SHK327788:SIA327788 SRG327788:SRW327788 TBC327788:TBS327788 TKY327788:TLO327788 TUU327788:TVK327788 UEQ327788:UFG327788 UOM327788:UPC327788 UYI327788:UYY327788 VIE327788:VIU327788 VSA327788:VSQ327788 WBW327788:WCM327788 WLS327788:WMI327788 WVO327788:WWE327788 G393324:W393324 JC393324:JS393324 SY393324:TO393324 ACU393324:ADK393324 AMQ393324:ANG393324 AWM393324:AXC393324 BGI393324:BGY393324 BQE393324:BQU393324 CAA393324:CAQ393324 CJW393324:CKM393324 CTS393324:CUI393324 DDO393324:DEE393324 DNK393324:DOA393324 DXG393324:DXW393324 EHC393324:EHS393324 EQY393324:ERO393324 FAU393324:FBK393324 FKQ393324:FLG393324 FUM393324:FVC393324 GEI393324:GEY393324 GOE393324:GOU393324 GYA393324:GYQ393324 HHW393324:HIM393324 HRS393324:HSI393324 IBO393324:ICE393324 ILK393324:IMA393324 IVG393324:IVW393324 JFC393324:JFS393324 JOY393324:JPO393324 JYU393324:JZK393324 KIQ393324:KJG393324 KSM393324:KTC393324 LCI393324:LCY393324 LME393324:LMU393324 LWA393324:LWQ393324 MFW393324:MGM393324 MPS393324:MQI393324 MZO393324:NAE393324 NJK393324:NKA393324 NTG393324:NTW393324 ODC393324:ODS393324 OMY393324:ONO393324 OWU393324:OXK393324 PGQ393324:PHG393324 PQM393324:PRC393324 QAI393324:QAY393324 QKE393324:QKU393324 QUA393324:QUQ393324 RDW393324:REM393324 RNS393324:ROI393324 RXO393324:RYE393324 SHK393324:SIA393324 SRG393324:SRW393324 TBC393324:TBS393324 TKY393324:TLO393324 TUU393324:TVK393324 UEQ393324:UFG393324 UOM393324:UPC393324 UYI393324:UYY393324 VIE393324:VIU393324 VSA393324:VSQ393324 WBW393324:WCM393324 WLS393324:WMI393324 WVO393324:WWE393324 G458860:W458860 JC458860:JS458860 SY458860:TO458860 ACU458860:ADK458860 AMQ458860:ANG458860 AWM458860:AXC458860 BGI458860:BGY458860 BQE458860:BQU458860 CAA458860:CAQ458860 CJW458860:CKM458860 CTS458860:CUI458860 DDO458860:DEE458860 DNK458860:DOA458860 DXG458860:DXW458860 EHC458860:EHS458860 EQY458860:ERO458860 FAU458860:FBK458860 FKQ458860:FLG458860 FUM458860:FVC458860 GEI458860:GEY458860 GOE458860:GOU458860 GYA458860:GYQ458860 HHW458860:HIM458860 HRS458860:HSI458860 IBO458860:ICE458860 ILK458860:IMA458860 IVG458860:IVW458860 JFC458860:JFS458860 JOY458860:JPO458860 JYU458860:JZK458860 KIQ458860:KJG458860 KSM458860:KTC458860 LCI458860:LCY458860 LME458860:LMU458860 LWA458860:LWQ458860 MFW458860:MGM458860 MPS458860:MQI458860 MZO458860:NAE458860 NJK458860:NKA458860 NTG458860:NTW458860 ODC458860:ODS458860 OMY458860:ONO458860 OWU458860:OXK458860 PGQ458860:PHG458860 PQM458860:PRC458860 QAI458860:QAY458860 QKE458860:QKU458860 QUA458860:QUQ458860 RDW458860:REM458860 RNS458860:ROI458860 RXO458860:RYE458860 SHK458860:SIA458860 SRG458860:SRW458860 TBC458860:TBS458860 TKY458860:TLO458860 TUU458860:TVK458860 UEQ458860:UFG458860 UOM458860:UPC458860 UYI458860:UYY458860 VIE458860:VIU458860 VSA458860:VSQ458860 WBW458860:WCM458860 WLS458860:WMI458860 WVO458860:WWE458860 G524396:W524396 JC524396:JS524396 SY524396:TO524396 ACU524396:ADK524396 AMQ524396:ANG524396 AWM524396:AXC524396 BGI524396:BGY524396 BQE524396:BQU524396 CAA524396:CAQ524396 CJW524396:CKM524396 CTS524396:CUI524396 DDO524396:DEE524396 DNK524396:DOA524396 DXG524396:DXW524396 EHC524396:EHS524396 EQY524396:ERO524396 FAU524396:FBK524396 FKQ524396:FLG524396 FUM524396:FVC524396 GEI524396:GEY524396 GOE524396:GOU524396 GYA524396:GYQ524396 HHW524396:HIM524396 HRS524396:HSI524396 IBO524396:ICE524396 ILK524396:IMA524396 IVG524396:IVW524396 JFC524396:JFS524396 JOY524396:JPO524396 JYU524396:JZK524396 KIQ524396:KJG524396 KSM524396:KTC524396 LCI524396:LCY524396 LME524396:LMU524396 LWA524396:LWQ524396 MFW524396:MGM524396 MPS524396:MQI524396 MZO524396:NAE524396 NJK524396:NKA524396 NTG524396:NTW524396 ODC524396:ODS524396 OMY524396:ONO524396 OWU524396:OXK524396 PGQ524396:PHG524396 PQM524396:PRC524396 QAI524396:QAY524396 QKE524396:QKU524396 QUA524396:QUQ524396 RDW524396:REM524396 RNS524396:ROI524396 RXO524396:RYE524396 SHK524396:SIA524396 SRG524396:SRW524396 TBC524396:TBS524396 TKY524396:TLO524396 TUU524396:TVK524396 UEQ524396:UFG524396 UOM524396:UPC524396 UYI524396:UYY524396 VIE524396:VIU524396 VSA524396:VSQ524396 WBW524396:WCM524396 WLS524396:WMI524396 WVO524396:WWE524396 G589932:W589932 JC589932:JS589932 SY589932:TO589932 ACU589932:ADK589932 AMQ589932:ANG589932 AWM589932:AXC589932 BGI589932:BGY589932 BQE589932:BQU589932 CAA589932:CAQ589932 CJW589932:CKM589932 CTS589932:CUI589932 DDO589932:DEE589932 DNK589932:DOA589932 DXG589932:DXW589932 EHC589932:EHS589932 EQY589932:ERO589932 FAU589932:FBK589932 FKQ589932:FLG589932 FUM589932:FVC589932 GEI589932:GEY589932 GOE589932:GOU589932 GYA589932:GYQ589932 HHW589932:HIM589932 HRS589932:HSI589932 IBO589932:ICE589932 ILK589932:IMA589932 IVG589932:IVW589932 JFC589932:JFS589932 JOY589932:JPO589932 JYU589932:JZK589932 KIQ589932:KJG589932 KSM589932:KTC589932 LCI589932:LCY589932 LME589932:LMU589932 LWA589932:LWQ589932 MFW589932:MGM589932 MPS589932:MQI589932 MZO589932:NAE589932 NJK589932:NKA589932 NTG589932:NTW589932 ODC589932:ODS589932 OMY589932:ONO589932 OWU589932:OXK589932 PGQ589932:PHG589932 PQM589932:PRC589932 QAI589932:QAY589932 QKE589932:QKU589932 QUA589932:QUQ589932 RDW589932:REM589932 RNS589932:ROI589932 RXO589932:RYE589932 SHK589932:SIA589932 SRG589932:SRW589932 TBC589932:TBS589932 TKY589932:TLO589932 TUU589932:TVK589932 UEQ589932:UFG589932 UOM589932:UPC589932 UYI589932:UYY589932 VIE589932:VIU589932 VSA589932:VSQ589932 WBW589932:WCM589932 WLS589932:WMI589932 WVO589932:WWE589932 G655468:W655468 JC655468:JS655468 SY655468:TO655468 ACU655468:ADK655468 AMQ655468:ANG655468 AWM655468:AXC655468 BGI655468:BGY655468 BQE655468:BQU655468 CAA655468:CAQ655468 CJW655468:CKM655468 CTS655468:CUI655468 DDO655468:DEE655468 DNK655468:DOA655468 DXG655468:DXW655468 EHC655468:EHS655468 EQY655468:ERO655468 FAU655468:FBK655468 FKQ655468:FLG655468 FUM655468:FVC655468 GEI655468:GEY655468 GOE655468:GOU655468 GYA655468:GYQ655468 HHW655468:HIM655468 HRS655468:HSI655468 IBO655468:ICE655468 ILK655468:IMA655468 IVG655468:IVW655468 JFC655468:JFS655468 JOY655468:JPO655468 JYU655468:JZK655468 KIQ655468:KJG655468 KSM655468:KTC655468 LCI655468:LCY655468 LME655468:LMU655468 LWA655468:LWQ655468 MFW655468:MGM655468 MPS655468:MQI655468 MZO655468:NAE655468 NJK655468:NKA655468 NTG655468:NTW655468 ODC655468:ODS655468 OMY655468:ONO655468 OWU655468:OXK655468 PGQ655468:PHG655468 PQM655468:PRC655468 QAI655468:QAY655468 QKE655468:QKU655468 QUA655468:QUQ655468 RDW655468:REM655468 RNS655468:ROI655468 RXO655468:RYE655468 SHK655468:SIA655468 SRG655468:SRW655468 TBC655468:TBS655468 TKY655468:TLO655468 TUU655468:TVK655468 UEQ655468:UFG655468 UOM655468:UPC655468 UYI655468:UYY655468 VIE655468:VIU655468 VSA655468:VSQ655468 WBW655468:WCM655468 WLS655468:WMI655468 WVO655468:WWE655468 G721004:W721004 JC721004:JS721004 SY721004:TO721004 ACU721004:ADK721004 AMQ721004:ANG721004 AWM721004:AXC721004 BGI721004:BGY721004 BQE721004:BQU721004 CAA721004:CAQ721004 CJW721004:CKM721004 CTS721004:CUI721004 DDO721004:DEE721004 DNK721004:DOA721004 DXG721004:DXW721004 EHC721004:EHS721004 EQY721004:ERO721004 FAU721004:FBK721004 FKQ721004:FLG721004 FUM721004:FVC721004 GEI721004:GEY721004 GOE721004:GOU721004 GYA721004:GYQ721004 HHW721004:HIM721004 HRS721004:HSI721004 IBO721004:ICE721004 ILK721004:IMA721004 IVG721004:IVW721004 JFC721004:JFS721004 JOY721004:JPO721004 JYU721004:JZK721004 KIQ721004:KJG721004 KSM721004:KTC721004 LCI721004:LCY721004 LME721004:LMU721004 LWA721004:LWQ721004 MFW721004:MGM721004 MPS721004:MQI721004 MZO721004:NAE721004 NJK721004:NKA721004 NTG721004:NTW721004 ODC721004:ODS721004 OMY721004:ONO721004 OWU721004:OXK721004 PGQ721004:PHG721004 PQM721004:PRC721004 QAI721004:QAY721004 QKE721004:QKU721004 QUA721004:QUQ721004 RDW721004:REM721004 RNS721004:ROI721004 RXO721004:RYE721004 SHK721004:SIA721004 SRG721004:SRW721004 TBC721004:TBS721004 TKY721004:TLO721004 TUU721004:TVK721004 UEQ721004:UFG721004 UOM721004:UPC721004 UYI721004:UYY721004 VIE721004:VIU721004 VSA721004:VSQ721004 WBW721004:WCM721004 WLS721004:WMI721004 WVO721004:WWE721004 G786540:W786540 JC786540:JS786540 SY786540:TO786540 ACU786540:ADK786540 AMQ786540:ANG786540 AWM786540:AXC786540 BGI786540:BGY786540 BQE786540:BQU786540 CAA786540:CAQ786540 CJW786540:CKM786540 CTS786540:CUI786540 DDO786540:DEE786540 DNK786540:DOA786540 DXG786540:DXW786540 EHC786540:EHS786540 EQY786540:ERO786540 FAU786540:FBK786540 FKQ786540:FLG786540 FUM786540:FVC786540 GEI786540:GEY786540 GOE786540:GOU786540 GYA786540:GYQ786540 HHW786540:HIM786540 HRS786540:HSI786540 IBO786540:ICE786540 ILK786540:IMA786540 IVG786540:IVW786540 JFC786540:JFS786540 JOY786540:JPO786540 JYU786540:JZK786540 KIQ786540:KJG786540 KSM786540:KTC786540 LCI786540:LCY786540 LME786540:LMU786540 LWA786540:LWQ786540 MFW786540:MGM786540 MPS786540:MQI786540 MZO786540:NAE786540 NJK786540:NKA786540 NTG786540:NTW786540 ODC786540:ODS786540 OMY786540:ONO786540 OWU786540:OXK786540 PGQ786540:PHG786540 PQM786540:PRC786540 QAI786540:QAY786540 QKE786540:QKU786540 QUA786540:QUQ786540 RDW786540:REM786540 RNS786540:ROI786540 RXO786540:RYE786540 SHK786540:SIA786540 SRG786540:SRW786540 TBC786540:TBS786540 TKY786540:TLO786540 TUU786540:TVK786540 UEQ786540:UFG786540 UOM786540:UPC786540 UYI786540:UYY786540 VIE786540:VIU786540 VSA786540:VSQ786540 WBW786540:WCM786540 WLS786540:WMI786540 WVO786540:WWE786540 G852076:W852076 JC852076:JS852076 SY852076:TO852076 ACU852076:ADK852076 AMQ852076:ANG852076 AWM852076:AXC852076 BGI852076:BGY852076 BQE852076:BQU852076 CAA852076:CAQ852076 CJW852076:CKM852076 CTS852076:CUI852076 DDO852076:DEE852076 DNK852076:DOA852076 DXG852076:DXW852076 EHC852076:EHS852076 EQY852076:ERO852076 FAU852076:FBK852076 FKQ852076:FLG852076 FUM852076:FVC852076 GEI852076:GEY852076 GOE852076:GOU852076 GYA852076:GYQ852076 HHW852076:HIM852076 HRS852076:HSI852076 IBO852076:ICE852076 ILK852076:IMA852076 IVG852076:IVW852076 JFC852076:JFS852076 JOY852076:JPO852076 JYU852076:JZK852076 KIQ852076:KJG852076 KSM852076:KTC852076 LCI852076:LCY852076 LME852076:LMU852076 LWA852076:LWQ852076 MFW852076:MGM852076 MPS852076:MQI852076 MZO852076:NAE852076 NJK852076:NKA852076 NTG852076:NTW852076 ODC852076:ODS852076 OMY852076:ONO852076 OWU852076:OXK852076 PGQ852076:PHG852076 PQM852076:PRC852076 QAI852076:QAY852076 QKE852076:QKU852076 QUA852076:QUQ852076 RDW852076:REM852076 RNS852076:ROI852076 RXO852076:RYE852076 SHK852076:SIA852076 SRG852076:SRW852076 TBC852076:TBS852076 TKY852076:TLO852076 TUU852076:TVK852076 UEQ852076:UFG852076 UOM852076:UPC852076 UYI852076:UYY852076 VIE852076:VIU852076 VSA852076:VSQ852076 WBW852076:WCM852076 WLS852076:WMI852076 WVO852076:WWE852076 G917612:W917612 JC917612:JS917612 SY917612:TO917612 ACU917612:ADK917612 AMQ917612:ANG917612 AWM917612:AXC917612 BGI917612:BGY917612 BQE917612:BQU917612 CAA917612:CAQ917612 CJW917612:CKM917612 CTS917612:CUI917612 DDO917612:DEE917612 DNK917612:DOA917612 DXG917612:DXW917612 EHC917612:EHS917612 EQY917612:ERO917612 FAU917612:FBK917612 FKQ917612:FLG917612 FUM917612:FVC917612 GEI917612:GEY917612 GOE917612:GOU917612 GYA917612:GYQ917612 HHW917612:HIM917612 HRS917612:HSI917612 IBO917612:ICE917612 ILK917612:IMA917612 IVG917612:IVW917612 JFC917612:JFS917612 JOY917612:JPO917612 JYU917612:JZK917612 KIQ917612:KJG917612 KSM917612:KTC917612 LCI917612:LCY917612 LME917612:LMU917612 LWA917612:LWQ917612 MFW917612:MGM917612 MPS917612:MQI917612 MZO917612:NAE917612 NJK917612:NKA917612 NTG917612:NTW917612 ODC917612:ODS917612 OMY917612:ONO917612 OWU917612:OXK917612 PGQ917612:PHG917612 PQM917612:PRC917612 QAI917612:QAY917612 QKE917612:QKU917612 QUA917612:QUQ917612 RDW917612:REM917612 RNS917612:ROI917612 RXO917612:RYE917612 SHK917612:SIA917612 SRG917612:SRW917612 TBC917612:TBS917612 TKY917612:TLO917612 TUU917612:TVK917612 UEQ917612:UFG917612 UOM917612:UPC917612 UYI917612:UYY917612 VIE917612:VIU917612 VSA917612:VSQ917612 WBW917612:WCM917612 WLS917612:WMI917612 WVO917612:WWE917612 G983148:W983148 JC983148:JS983148 SY983148:TO983148 ACU983148:ADK983148 AMQ983148:ANG983148 AWM983148:AXC983148 BGI983148:BGY983148 BQE983148:BQU983148 CAA983148:CAQ983148 CJW983148:CKM983148 CTS983148:CUI983148 DDO983148:DEE983148 DNK983148:DOA983148 DXG983148:DXW983148 EHC983148:EHS983148 EQY983148:ERO983148 FAU983148:FBK983148 FKQ983148:FLG983148 FUM983148:FVC983148 GEI983148:GEY983148 GOE983148:GOU983148 GYA983148:GYQ983148 HHW983148:HIM983148 HRS983148:HSI983148 IBO983148:ICE983148 ILK983148:IMA983148 IVG983148:IVW983148 JFC983148:JFS983148 JOY983148:JPO983148 JYU983148:JZK983148 KIQ983148:KJG983148 KSM983148:KTC983148 LCI983148:LCY983148 LME983148:LMU983148 LWA983148:LWQ983148 MFW983148:MGM983148 MPS983148:MQI983148 MZO983148:NAE983148 NJK983148:NKA983148 NTG983148:NTW983148 ODC983148:ODS983148 OMY983148:ONO983148 OWU983148:OXK983148 PGQ983148:PHG983148 PQM983148:PRC983148 QAI983148:QAY983148 QKE983148:QKU983148 QUA983148:QUQ983148 RDW983148:REM983148 RNS983148:ROI983148 RXO983148:RYE983148 SHK983148:SIA983148 SRG983148:SRW983148 TBC983148:TBS983148 TKY983148:TLO983148 TUU983148:TVK983148 UEQ983148:UFG983148 UOM983148:UPC983148 UYI983148:UYY983148 VIE983148:VIU983148 VSA983148:VSQ983148 WBW983148:WCM983148 WLS983148:WMI983148 WVO983148:WWE983148 Q101:V101 JM101:JR101 TI101:TN101 ADE101:ADJ101 ANA101:ANF101 AWW101:AXB101 BGS101:BGX101 BQO101:BQT101 CAK101:CAP101 CKG101:CKL101 CUC101:CUH101 DDY101:DED101 DNU101:DNZ101 DXQ101:DXV101 EHM101:EHR101 ERI101:ERN101 FBE101:FBJ101 FLA101:FLF101 FUW101:FVB101 GES101:GEX101 GOO101:GOT101 GYK101:GYP101 HIG101:HIL101 HSC101:HSH101 IBY101:ICD101 ILU101:ILZ101 IVQ101:IVV101 JFM101:JFR101 JPI101:JPN101 JZE101:JZJ101 KJA101:KJF101 KSW101:KTB101 LCS101:LCX101 LMO101:LMT101 LWK101:LWP101 MGG101:MGL101 MQC101:MQH101 MZY101:NAD101 NJU101:NJZ101 NTQ101:NTV101 ODM101:ODR101 ONI101:ONN101 OXE101:OXJ101 PHA101:PHF101 PQW101:PRB101 QAS101:QAX101 QKO101:QKT101 QUK101:QUP101 REG101:REL101 ROC101:ROH101 RXY101:RYD101 SHU101:SHZ101 SRQ101:SRV101 TBM101:TBR101 TLI101:TLN101 TVE101:TVJ101 UFA101:UFF101 UOW101:UPB101 UYS101:UYX101 VIO101:VIT101 VSK101:VSP101 WCG101:WCL101 WMC101:WMH101 WVY101:WWD101 Q65637:V65637 JM65637:JR65637 TI65637:TN65637 ADE65637:ADJ65637 ANA65637:ANF65637 AWW65637:AXB65637 BGS65637:BGX65637 BQO65637:BQT65637 CAK65637:CAP65637 CKG65637:CKL65637 CUC65637:CUH65637 DDY65637:DED65637 DNU65637:DNZ65637 DXQ65637:DXV65637 EHM65637:EHR65637 ERI65637:ERN65637 FBE65637:FBJ65637 FLA65637:FLF65637 FUW65637:FVB65637 GES65637:GEX65637 GOO65637:GOT65637 GYK65637:GYP65637 HIG65637:HIL65637 HSC65637:HSH65637 IBY65637:ICD65637 ILU65637:ILZ65637 IVQ65637:IVV65637 JFM65637:JFR65637 JPI65637:JPN65637 JZE65637:JZJ65637 KJA65637:KJF65637 KSW65637:KTB65637 LCS65637:LCX65637 LMO65637:LMT65637 LWK65637:LWP65637 MGG65637:MGL65637 MQC65637:MQH65637 MZY65637:NAD65637 NJU65637:NJZ65637 NTQ65637:NTV65637 ODM65637:ODR65637 ONI65637:ONN65637 OXE65637:OXJ65637 PHA65637:PHF65637 PQW65637:PRB65637 QAS65637:QAX65637 QKO65637:QKT65637 QUK65637:QUP65637 REG65637:REL65637 ROC65637:ROH65637 RXY65637:RYD65637 SHU65637:SHZ65637 SRQ65637:SRV65637 TBM65637:TBR65637 TLI65637:TLN65637 TVE65637:TVJ65637 UFA65637:UFF65637 UOW65637:UPB65637 UYS65637:UYX65637 VIO65637:VIT65637 VSK65637:VSP65637 WCG65637:WCL65637 WMC65637:WMH65637 WVY65637:WWD65637 Q131173:V131173 JM131173:JR131173 TI131173:TN131173 ADE131173:ADJ131173 ANA131173:ANF131173 AWW131173:AXB131173 BGS131173:BGX131173 BQO131173:BQT131173 CAK131173:CAP131173 CKG131173:CKL131173 CUC131173:CUH131173 DDY131173:DED131173 DNU131173:DNZ131173 DXQ131173:DXV131173 EHM131173:EHR131173 ERI131173:ERN131173 FBE131173:FBJ131173 FLA131173:FLF131173 FUW131173:FVB131173 GES131173:GEX131173 GOO131173:GOT131173 GYK131173:GYP131173 HIG131173:HIL131173 HSC131173:HSH131173 IBY131173:ICD131173 ILU131173:ILZ131173 IVQ131173:IVV131173 JFM131173:JFR131173 JPI131173:JPN131173 JZE131173:JZJ131173 KJA131173:KJF131173 KSW131173:KTB131173 LCS131173:LCX131173 LMO131173:LMT131173 LWK131173:LWP131173 MGG131173:MGL131173 MQC131173:MQH131173 MZY131173:NAD131173 NJU131173:NJZ131173 NTQ131173:NTV131173 ODM131173:ODR131173 ONI131173:ONN131173 OXE131173:OXJ131173 PHA131173:PHF131173 PQW131173:PRB131173 QAS131173:QAX131173 QKO131173:QKT131173 QUK131173:QUP131173 REG131173:REL131173 ROC131173:ROH131173 RXY131173:RYD131173 SHU131173:SHZ131173 SRQ131173:SRV131173 TBM131173:TBR131173 TLI131173:TLN131173 TVE131173:TVJ131173 UFA131173:UFF131173 UOW131173:UPB131173 UYS131173:UYX131173 VIO131173:VIT131173 VSK131173:VSP131173 WCG131173:WCL131173 WMC131173:WMH131173 WVY131173:WWD131173 Q196709:V196709 JM196709:JR196709 TI196709:TN196709 ADE196709:ADJ196709 ANA196709:ANF196709 AWW196709:AXB196709 BGS196709:BGX196709 BQO196709:BQT196709 CAK196709:CAP196709 CKG196709:CKL196709 CUC196709:CUH196709 DDY196709:DED196709 DNU196709:DNZ196709 DXQ196709:DXV196709 EHM196709:EHR196709 ERI196709:ERN196709 FBE196709:FBJ196709 FLA196709:FLF196709 FUW196709:FVB196709 GES196709:GEX196709 GOO196709:GOT196709 GYK196709:GYP196709 HIG196709:HIL196709 HSC196709:HSH196709 IBY196709:ICD196709 ILU196709:ILZ196709 IVQ196709:IVV196709 JFM196709:JFR196709 JPI196709:JPN196709 JZE196709:JZJ196709 KJA196709:KJF196709 KSW196709:KTB196709 LCS196709:LCX196709 LMO196709:LMT196709 LWK196709:LWP196709 MGG196709:MGL196709 MQC196709:MQH196709 MZY196709:NAD196709 NJU196709:NJZ196709 NTQ196709:NTV196709 ODM196709:ODR196709 ONI196709:ONN196709 OXE196709:OXJ196709 PHA196709:PHF196709 PQW196709:PRB196709 QAS196709:QAX196709 QKO196709:QKT196709 QUK196709:QUP196709 REG196709:REL196709 ROC196709:ROH196709 RXY196709:RYD196709 SHU196709:SHZ196709 SRQ196709:SRV196709 TBM196709:TBR196709 TLI196709:TLN196709 TVE196709:TVJ196709 UFA196709:UFF196709 UOW196709:UPB196709 UYS196709:UYX196709 VIO196709:VIT196709 VSK196709:VSP196709 WCG196709:WCL196709 WMC196709:WMH196709 WVY196709:WWD196709 Q262245:V262245 JM262245:JR262245 TI262245:TN262245 ADE262245:ADJ262245 ANA262245:ANF262245 AWW262245:AXB262245 BGS262245:BGX262245 BQO262245:BQT262245 CAK262245:CAP262245 CKG262245:CKL262245 CUC262245:CUH262245 DDY262245:DED262245 DNU262245:DNZ262245 DXQ262245:DXV262245 EHM262245:EHR262245 ERI262245:ERN262245 FBE262245:FBJ262245 FLA262245:FLF262245 FUW262245:FVB262245 GES262245:GEX262245 GOO262245:GOT262245 GYK262245:GYP262245 HIG262245:HIL262245 HSC262245:HSH262245 IBY262245:ICD262245 ILU262245:ILZ262245 IVQ262245:IVV262245 JFM262245:JFR262245 JPI262245:JPN262245 JZE262245:JZJ262245 KJA262245:KJF262245 KSW262245:KTB262245 LCS262245:LCX262245 LMO262245:LMT262245 LWK262245:LWP262245 MGG262245:MGL262245 MQC262245:MQH262245 MZY262245:NAD262245 NJU262245:NJZ262245 NTQ262245:NTV262245 ODM262245:ODR262245 ONI262245:ONN262245 OXE262245:OXJ262245 PHA262245:PHF262245 PQW262245:PRB262245 QAS262245:QAX262245 QKO262245:QKT262245 QUK262245:QUP262245 REG262245:REL262245 ROC262245:ROH262245 RXY262245:RYD262245 SHU262245:SHZ262245 SRQ262245:SRV262245 TBM262245:TBR262245 TLI262245:TLN262245 TVE262245:TVJ262245 UFA262245:UFF262245 UOW262245:UPB262245 UYS262245:UYX262245 VIO262245:VIT262245 VSK262245:VSP262245 WCG262245:WCL262245 WMC262245:WMH262245 WVY262245:WWD262245 Q327781:V327781 JM327781:JR327781 TI327781:TN327781 ADE327781:ADJ327781 ANA327781:ANF327781 AWW327781:AXB327781 BGS327781:BGX327781 BQO327781:BQT327781 CAK327781:CAP327781 CKG327781:CKL327781 CUC327781:CUH327781 DDY327781:DED327781 DNU327781:DNZ327781 DXQ327781:DXV327781 EHM327781:EHR327781 ERI327781:ERN327781 FBE327781:FBJ327781 FLA327781:FLF327781 FUW327781:FVB327781 GES327781:GEX327781 GOO327781:GOT327781 GYK327781:GYP327781 HIG327781:HIL327781 HSC327781:HSH327781 IBY327781:ICD327781 ILU327781:ILZ327781 IVQ327781:IVV327781 JFM327781:JFR327781 JPI327781:JPN327781 JZE327781:JZJ327781 KJA327781:KJF327781 KSW327781:KTB327781 LCS327781:LCX327781 LMO327781:LMT327781 LWK327781:LWP327781 MGG327781:MGL327781 MQC327781:MQH327781 MZY327781:NAD327781 NJU327781:NJZ327781 NTQ327781:NTV327781 ODM327781:ODR327781 ONI327781:ONN327781 OXE327781:OXJ327781 PHA327781:PHF327781 PQW327781:PRB327781 QAS327781:QAX327781 QKO327781:QKT327781 QUK327781:QUP327781 REG327781:REL327781 ROC327781:ROH327781 RXY327781:RYD327781 SHU327781:SHZ327781 SRQ327781:SRV327781 TBM327781:TBR327781 TLI327781:TLN327781 TVE327781:TVJ327781 UFA327781:UFF327781 UOW327781:UPB327781 UYS327781:UYX327781 VIO327781:VIT327781 VSK327781:VSP327781 WCG327781:WCL327781 WMC327781:WMH327781 WVY327781:WWD327781 Q393317:V393317 JM393317:JR393317 TI393317:TN393317 ADE393317:ADJ393317 ANA393317:ANF393317 AWW393317:AXB393317 BGS393317:BGX393317 BQO393317:BQT393317 CAK393317:CAP393317 CKG393317:CKL393317 CUC393317:CUH393317 DDY393317:DED393317 DNU393317:DNZ393317 DXQ393317:DXV393317 EHM393317:EHR393317 ERI393317:ERN393317 FBE393317:FBJ393317 FLA393317:FLF393317 FUW393317:FVB393317 GES393317:GEX393317 GOO393317:GOT393317 GYK393317:GYP393317 HIG393317:HIL393317 HSC393317:HSH393317 IBY393317:ICD393317 ILU393317:ILZ393317 IVQ393317:IVV393317 JFM393317:JFR393317 JPI393317:JPN393317 JZE393317:JZJ393317 KJA393317:KJF393317 KSW393317:KTB393317 LCS393317:LCX393317 LMO393317:LMT393317 LWK393317:LWP393317 MGG393317:MGL393317 MQC393317:MQH393317 MZY393317:NAD393317 NJU393317:NJZ393317 NTQ393317:NTV393317 ODM393317:ODR393317 ONI393317:ONN393317 OXE393317:OXJ393317 PHA393317:PHF393317 PQW393317:PRB393317 QAS393317:QAX393317 QKO393317:QKT393317 QUK393317:QUP393317 REG393317:REL393317 ROC393317:ROH393317 RXY393317:RYD393317 SHU393317:SHZ393317 SRQ393317:SRV393317 TBM393317:TBR393317 TLI393317:TLN393317 TVE393317:TVJ393317 UFA393317:UFF393317 UOW393317:UPB393317 UYS393317:UYX393317 VIO393317:VIT393317 VSK393317:VSP393317 WCG393317:WCL393317 WMC393317:WMH393317 WVY393317:WWD393317 Q458853:V458853 JM458853:JR458853 TI458853:TN458853 ADE458853:ADJ458853 ANA458853:ANF458853 AWW458853:AXB458853 BGS458853:BGX458853 BQO458853:BQT458853 CAK458853:CAP458853 CKG458853:CKL458853 CUC458853:CUH458853 DDY458853:DED458853 DNU458853:DNZ458853 DXQ458853:DXV458853 EHM458853:EHR458853 ERI458853:ERN458853 FBE458853:FBJ458853 FLA458853:FLF458853 FUW458853:FVB458853 GES458853:GEX458853 GOO458853:GOT458853 GYK458853:GYP458853 HIG458853:HIL458853 HSC458853:HSH458853 IBY458853:ICD458853 ILU458853:ILZ458853 IVQ458853:IVV458853 JFM458853:JFR458853 JPI458853:JPN458853 JZE458853:JZJ458853 KJA458853:KJF458853 KSW458853:KTB458853 LCS458853:LCX458853 LMO458853:LMT458853 LWK458853:LWP458853 MGG458853:MGL458853 MQC458853:MQH458853 MZY458853:NAD458853 NJU458853:NJZ458853 NTQ458853:NTV458853 ODM458853:ODR458853 ONI458853:ONN458853 OXE458853:OXJ458853 PHA458853:PHF458853 PQW458853:PRB458853 QAS458853:QAX458853 QKO458853:QKT458853 QUK458853:QUP458853 REG458853:REL458853 ROC458853:ROH458853 RXY458853:RYD458853 SHU458853:SHZ458853 SRQ458853:SRV458853 TBM458853:TBR458853 TLI458853:TLN458853 TVE458853:TVJ458853 UFA458853:UFF458853 UOW458853:UPB458853 UYS458853:UYX458853 VIO458853:VIT458853 VSK458853:VSP458853 WCG458853:WCL458853 WMC458853:WMH458853 WVY458853:WWD458853 Q524389:V524389 JM524389:JR524389 TI524389:TN524389 ADE524389:ADJ524389 ANA524389:ANF524389 AWW524389:AXB524389 BGS524389:BGX524389 BQO524389:BQT524389 CAK524389:CAP524389 CKG524389:CKL524389 CUC524389:CUH524389 DDY524389:DED524389 DNU524389:DNZ524389 DXQ524389:DXV524389 EHM524389:EHR524389 ERI524389:ERN524389 FBE524389:FBJ524389 FLA524389:FLF524389 FUW524389:FVB524389 GES524389:GEX524389 GOO524389:GOT524389 GYK524389:GYP524389 HIG524389:HIL524389 HSC524389:HSH524389 IBY524389:ICD524389 ILU524389:ILZ524389 IVQ524389:IVV524389 JFM524389:JFR524389 JPI524389:JPN524389 JZE524389:JZJ524389 KJA524389:KJF524389 KSW524389:KTB524389 LCS524389:LCX524389 LMO524389:LMT524389 LWK524389:LWP524389 MGG524389:MGL524389 MQC524389:MQH524389 MZY524389:NAD524389 NJU524389:NJZ524389 NTQ524389:NTV524389 ODM524389:ODR524389 ONI524389:ONN524389 OXE524389:OXJ524389 PHA524389:PHF524389 PQW524389:PRB524389 QAS524389:QAX524389 QKO524389:QKT524389 QUK524389:QUP524389 REG524389:REL524389 ROC524389:ROH524389 RXY524389:RYD524389 SHU524389:SHZ524389 SRQ524389:SRV524389 TBM524389:TBR524389 TLI524389:TLN524389 TVE524389:TVJ524389 UFA524389:UFF524389 UOW524389:UPB524389 UYS524389:UYX524389 VIO524389:VIT524389 VSK524389:VSP524389 WCG524389:WCL524389 WMC524389:WMH524389 WVY524389:WWD524389 Q589925:V589925 JM589925:JR589925 TI589925:TN589925 ADE589925:ADJ589925 ANA589925:ANF589925 AWW589925:AXB589925 BGS589925:BGX589925 BQO589925:BQT589925 CAK589925:CAP589925 CKG589925:CKL589925 CUC589925:CUH589925 DDY589925:DED589925 DNU589925:DNZ589925 DXQ589925:DXV589925 EHM589925:EHR589925 ERI589925:ERN589925 FBE589925:FBJ589925 FLA589925:FLF589925 FUW589925:FVB589925 GES589925:GEX589925 GOO589925:GOT589925 GYK589925:GYP589925 HIG589925:HIL589925 HSC589925:HSH589925 IBY589925:ICD589925 ILU589925:ILZ589925 IVQ589925:IVV589925 JFM589925:JFR589925 JPI589925:JPN589925 JZE589925:JZJ589925 KJA589925:KJF589925 KSW589925:KTB589925 LCS589925:LCX589925 LMO589925:LMT589925 LWK589925:LWP589925 MGG589925:MGL589925 MQC589925:MQH589925 MZY589925:NAD589925 NJU589925:NJZ589925 NTQ589925:NTV589925 ODM589925:ODR589925 ONI589925:ONN589925 OXE589925:OXJ589925 PHA589925:PHF589925 PQW589925:PRB589925 QAS589925:QAX589925 QKO589925:QKT589925 QUK589925:QUP589925 REG589925:REL589925 ROC589925:ROH589925 RXY589925:RYD589925 SHU589925:SHZ589925 SRQ589925:SRV589925 TBM589925:TBR589925 TLI589925:TLN589925 TVE589925:TVJ589925 UFA589925:UFF589925 UOW589925:UPB589925 UYS589925:UYX589925 VIO589925:VIT589925 VSK589925:VSP589925 WCG589925:WCL589925 WMC589925:WMH589925 WVY589925:WWD589925 Q655461:V655461 JM655461:JR655461 TI655461:TN655461 ADE655461:ADJ655461 ANA655461:ANF655461 AWW655461:AXB655461 BGS655461:BGX655461 BQO655461:BQT655461 CAK655461:CAP655461 CKG655461:CKL655461 CUC655461:CUH655461 DDY655461:DED655461 DNU655461:DNZ655461 DXQ655461:DXV655461 EHM655461:EHR655461 ERI655461:ERN655461 FBE655461:FBJ655461 FLA655461:FLF655461 FUW655461:FVB655461 GES655461:GEX655461 GOO655461:GOT655461 GYK655461:GYP655461 HIG655461:HIL655461 HSC655461:HSH655461 IBY655461:ICD655461 ILU655461:ILZ655461 IVQ655461:IVV655461 JFM655461:JFR655461 JPI655461:JPN655461 JZE655461:JZJ655461 KJA655461:KJF655461 KSW655461:KTB655461 LCS655461:LCX655461 LMO655461:LMT655461 LWK655461:LWP655461 MGG655461:MGL655461 MQC655461:MQH655461 MZY655461:NAD655461 NJU655461:NJZ655461 NTQ655461:NTV655461 ODM655461:ODR655461 ONI655461:ONN655461 OXE655461:OXJ655461 PHA655461:PHF655461 PQW655461:PRB655461 QAS655461:QAX655461 QKO655461:QKT655461 QUK655461:QUP655461 REG655461:REL655461 ROC655461:ROH655461 RXY655461:RYD655461 SHU655461:SHZ655461 SRQ655461:SRV655461 TBM655461:TBR655461 TLI655461:TLN655461 TVE655461:TVJ655461 UFA655461:UFF655461 UOW655461:UPB655461 UYS655461:UYX655461 VIO655461:VIT655461 VSK655461:VSP655461 WCG655461:WCL655461 WMC655461:WMH655461 WVY655461:WWD655461 Q720997:V720997 JM720997:JR720997 TI720997:TN720997 ADE720997:ADJ720997 ANA720997:ANF720997 AWW720997:AXB720997 BGS720997:BGX720997 BQO720997:BQT720997 CAK720997:CAP720997 CKG720997:CKL720997 CUC720997:CUH720997 DDY720997:DED720997 DNU720997:DNZ720997 DXQ720997:DXV720997 EHM720997:EHR720997 ERI720997:ERN720997 FBE720997:FBJ720997 FLA720997:FLF720997 FUW720997:FVB720997 GES720997:GEX720997 GOO720997:GOT720997 GYK720997:GYP720997 HIG720997:HIL720997 HSC720997:HSH720997 IBY720997:ICD720997 ILU720997:ILZ720997 IVQ720997:IVV720997 JFM720997:JFR720997 JPI720997:JPN720997 JZE720997:JZJ720997 KJA720997:KJF720997 KSW720997:KTB720997 LCS720997:LCX720997 LMO720997:LMT720997 LWK720997:LWP720997 MGG720997:MGL720997 MQC720997:MQH720997 MZY720997:NAD720997 NJU720997:NJZ720997 NTQ720997:NTV720997 ODM720997:ODR720997 ONI720997:ONN720997 OXE720997:OXJ720997 PHA720997:PHF720997 PQW720997:PRB720997 QAS720997:QAX720997 QKO720997:QKT720997 QUK720997:QUP720997 REG720997:REL720997 ROC720997:ROH720997 RXY720997:RYD720997 SHU720997:SHZ720997 SRQ720997:SRV720997 TBM720997:TBR720997 TLI720997:TLN720997 TVE720997:TVJ720997 UFA720997:UFF720997 UOW720997:UPB720997 UYS720997:UYX720997 VIO720997:VIT720997 VSK720997:VSP720997 WCG720997:WCL720997 WMC720997:WMH720997 WVY720997:WWD720997 Q786533:V786533 JM786533:JR786533 TI786533:TN786533 ADE786533:ADJ786533 ANA786533:ANF786533 AWW786533:AXB786533 BGS786533:BGX786533 BQO786533:BQT786533 CAK786533:CAP786533 CKG786533:CKL786533 CUC786533:CUH786533 DDY786533:DED786533 DNU786533:DNZ786533 DXQ786533:DXV786533 EHM786533:EHR786533 ERI786533:ERN786533 FBE786533:FBJ786533 FLA786533:FLF786533 FUW786533:FVB786533 GES786533:GEX786533 GOO786533:GOT786533 GYK786533:GYP786533 HIG786533:HIL786533 HSC786533:HSH786533 IBY786533:ICD786533 ILU786533:ILZ786533 IVQ786533:IVV786533 JFM786533:JFR786533 JPI786533:JPN786533 JZE786533:JZJ786533 KJA786533:KJF786533 KSW786533:KTB786533 LCS786533:LCX786533 LMO786533:LMT786533 LWK786533:LWP786533 MGG786533:MGL786533 MQC786533:MQH786533 MZY786533:NAD786533 NJU786533:NJZ786533 NTQ786533:NTV786533 ODM786533:ODR786533 ONI786533:ONN786533 OXE786533:OXJ786533 PHA786533:PHF786533 PQW786533:PRB786533 QAS786533:QAX786533 QKO786533:QKT786533 QUK786533:QUP786533 REG786533:REL786533 ROC786533:ROH786533 RXY786533:RYD786533 SHU786533:SHZ786533 SRQ786533:SRV786533 TBM786533:TBR786533 TLI786533:TLN786533 TVE786533:TVJ786533 UFA786533:UFF786533 UOW786533:UPB786533 UYS786533:UYX786533 VIO786533:VIT786533 VSK786533:VSP786533 WCG786533:WCL786533 WMC786533:WMH786533 WVY786533:WWD786533 Q852069:V852069 JM852069:JR852069 TI852069:TN852069 ADE852069:ADJ852069 ANA852069:ANF852069 AWW852069:AXB852069 BGS852069:BGX852069 BQO852069:BQT852069 CAK852069:CAP852069 CKG852069:CKL852069 CUC852069:CUH852069 DDY852069:DED852069 DNU852069:DNZ852069 DXQ852069:DXV852069 EHM852069:EHR852069 ERI852069:ERN852069 FBE852069:FBJ852069 FLA852069:FLF852069 FUW852069:FVB852069 GES852069:GEX852069 GOO852069:GOT852069 GYK852069:GYP852069 HIG852069:HIL852069 HSC852069:HSH852069 IBY852069:ICD852069 ILU852069:ILZ852069 IVQ852069:IVV852069 JFM852069:JFR852069 JPI852069:JPN852069 JZE852069:JZJ852069 KJA852069:KJF852069 KSW852069:KTB852069 LCS852069:LCX852069 LMO852069:LMT852069 LWK852069:LWP852069 MGG852069:MGL852069 MQC852069:MQH852069 MZY852069:NAD852069 NJU852069:NJZ852069 NTQ852069:NTV852069 ODM852069:ODR852069 ONI852069:ONN852069 OXE852069:OXJ852069 PHA852069:PHF852069 PQW852069:PRB852069 QAS852069:QAX852069 QKO852069:QKT852069 QUK852069:QUP852069 REG852069:REL852069 ROC852069:ROH852069 RXY852069:RYD852069 SHU852069:SHZ852069 SRQ852069:SRV852069 TBM852069:TBR852069 TLI852069:TLN852069 TVE852069:TVJ852069 UFA852069:UFF852069 UOW852069:UPB852069 UYS852069:UYX852069 VIO852069:VIT852069 VSK852069:VSP852069 WCG852069:WCL852069 WMC852069:WMH852069 WVY852069:WWD852069 Q917605:V917605 JM917605:JR917605 TI917605:TN917605 ADE917605:ADJ917605 ANA917605:ANF917605 AWW917605:AXB917605 BGS917605:BGX917605 BQO917605:BQT917605 CAK917605:CAP917605 CKG917605:CKL917605 CUC917605:CUH917605 DDY917605:DED917605 DNU917605:DNZ917605 DXQ917605:DXV917605 EHM917605:EHR917605 ERI917605:ERN917605 FBE917605:FBJ917605 FLA917605:FLF917605 FUW917605:FVB917605 GES917605:GEX917605 GOO917605:GOT917605 GYK917605:GYP917605 HIG917605:HIL917605 HSC917605:HSH917605 IBY917605:ICD917605 ILU917605:ILZ917605 IVQ917605:IVV917605 JFM917605:JFR917605 JPI917605:JPN917605 JZE917605:JZJ917605 KJA917605:KJF917605 KSW917605:KTB917605 LCS917605:LCX917605 LMO917605:LMT917605 LWK917605:LWP917605 MGG917605:MGL917605 MQC917605:MQH917605 MZY917605:NAD917605 NJU917605:NJZ917605 NTQ917605:NTV917605 ODM917605:ODR917605 ONI917605:ONN917605 OXE917605:OXJ917605 PHA917605:PHF917605 PQW917605:PRB917605 QAS917605:QAX917605 QKO917605:QKT917605 QUK917605:QUP917605 REG917605:REL917605 ROC917605:ROH917605 RXY917605:RYD917605 SHU917605:SHZ917605 SRQ917605:SRV917605 TBM917605:TBR917605 TLI917605:TLN917605 TVE917605:TVJ917605 UFA917605:UFF917605 UOW917605:UPB917605 UYS917605:UYX917605 VIO917605:VIT917605 VSK917605:VSP917605 WCG917605:WCL917605 WMC917605:WMH917605 WVY917605:WWD917605 Q983141:V983141 JM983141:JR983141 TI983141:TN983141 ADE983141:ADJ983141 ANA983141:ANF983141 AWW983141:AXB983141 BGS983141:BGX983141 BQO983141:BQT983141 CAK983141:CAP983141 CKG983141:CKL983141 CUC983141:CUH983141 DDY983141:DED983141 DNU983141:DNZ983141 DXQ983141:DXV983141 EHM983141:EHR983141 ERI983141:ERN983141 FBE983141:FBJ983141 FLA983141:FLF983141 FUW983141:FVB983141 GES983141:GEX983141 GOO983141:GOT983141 GYK983141:GYP983141 HIG983141:HIL983141 HSC983141:HSH983141 IBY983141:ICD983141 ILU983141:ILZ983141 IVQ983141:IVV983141 JFM983141:JFR983141 JPI983141:JPN983141 JZE983141:JZJ983141 KJA983141:KJF983141 KSW983141:KTB983141 LCS983141:LCX983141 LMO983141:LMT983141 LWK983141:LWP983141 MGG983141:MGL983141 MQC983141:MQH983141 MZY983141:NAD983141 NJU983141:NJZ983141 NTQ983141:NTV983141 ODM983141:ODR983141 ONI983141:ONN983141 OXE983141:OXJ983141 PHA983141:PHF983141 PQW983141:PRB983141 QAS983141:QAX983141 QKO983141:QKT983141 QUK983141:QUP983141 REG983141:REL983141 ROC983141:ROH983141 RXY983141:RYD983141 SHU983141:SHZ983141 SRQ983141:SRV983141 TBM983141:TBR983141 TLI983141:TLN983141 TVE983141:TVJ983141 UFA983141:UFF983141 UOW983141:UPB983141 UYS983141:UYX983141 VIO983141:VIT983141 VSK983141:VSP983141 WCG983141:WCL983141 WMC983141:WMH983141 WVY983141:WWD983141 R103:V103 JN103:JR103 TJ103:TN103 ADF103:ADJ103 ANB103:ANF103 AWX103:AXB103 BGT103:BGX103 BQP103:BQT103 CAL103:CAP103 CKH103:CKL103 CUD103:CUH103 DDZ103:DED103 DNV103:DNZ103 DXR103:DXV103 EHN103:EHR103 ERJ103:ERN103 FBF103:FBJ103 FLB103:FLF103 FUX103:FVB103 GET103:GEX103 GOP103:GOT103 GYL103:GYP103 HIH103:HIL103 HSD103:HSH103 IBZ103:ICD103 ILV103:ILZ103 IVR103:IVV103 JFN103:JFR103 JPJ103:JPN103 JZF103:JZJ103 KJB103:KJF103 KSX103:KTB103 LCT103:LCX103 LMP103:LMT103 LWL103:LWP103 MGH103:MGL103 MQD103:MQH103 MZZ103:NAD103 NJV103:NJZ103 NTR103:NTV103 ODN103:ODR103 ONJ103:ONN103 OXF103:OXJ103 PHB103:PHF103 PQX103:PRB103 QAT103:QAX103 QKP103:QKT103 QUL103:QUP103 REH103:REL103 ROD103:ROH103 RXZ103:RYD103 SHV103:SHZ103 SRR103:SRV103 TBN103:TBR103 TLJ103:TLN103 TVF103:TVJ103 UFB103:UFF103 UOX103:UPB103 UYT103:UYX103 VIP103:VIT103 VSL103:VSP103 WCH103:WCL103 WMD103:WMH103 WVZ103:WWD103 R65639:V65639 JN65639:JR65639 TJ65639:TN65639 ADF65639:ADJ65639 ANB65639:ANF65639 AWX65639:AXB65639 BGT65639:BGX65639 BQP65639:BQT65639 CAL65639:CAP65639 CKH65639:CKL65639 CUD65639:CUH65639 DDZ65639:DED65639 DNV65639:DNZ65639 DXR65639:DXV65639 EHN65639:EHR65639 ERJ65639:ERN65639 FBF65639:FBJ65639 FLB65639:FLF65639 FUX65639:FVB65639 GET65639:GEX65639 GOP65639:GOT65639 GYL65639:GYP65639 HIH65639:HIL65639 HSD65639:HSH65639 IBZ65639:ICD65639 ILV65639:ILZ65639 IVR65639:IVV65639 JFN65639:JFR65639 JPJ65639:JPN65639 JZF65639:JZJ65639 KJB65639:KJF65639 KSX65639:KTB65639 LCT65639:LCX65639 LMP65639:LMT65639 LWL65639:LWP65639 MGH65639:MGL65639 MQD65639:MQH65639 MZZ65639:NAD65639 NJV65639:NJZ65639 NTR65639:NTV65639 ODN65639:ODR65639 ONJ65639:ONN65639 OXF65639:OXJ65639 PHB65639:PHF65639 PQX65639:PRB65639 QAT65639:QAX65639 QKP65639:QKT65639 QUL65639:QUP65639 REH65639:REL65639 ROD65639:ROH65639 RXZ65639:RYD65639 SHV65639:SHZ65639 SRR65639:SRV65639 TBN65639:TBR65639 TLJ65639:TLN65639 TVF65639:TVJ65639 UFB65639:UFF65639 UOX65639:UPB65639 UYT65639:UYX65639 VIP65639:VIT65639 VSL65639:VSP65639 WCH65639:WCL65639 WMD65639:WMH65639 WVZ65639:WWD65639 R131175:V131175 JN131175:JR131175 TJ131175:TN131175 ADF131175:ADJ131175 ANB131175:ANF131175 AWX131175:AXB131175 BGT131175:BGX131175 BQP131175:BQT131175 CAL131175:CAP131175 CKH131175:CKL131175 CUD131175:CUH131175 DDZ131175:DED131175 DNV131175:DNZ131175 DXR131175:DXV131175 EHN131175:EHR131175 ERJ131175:ERN131175 FBF131175:FBJ131175 FLB131175:FLF131175 FUX131175:FVB131175 GET131175:GEX131175 GOP131175:GOT131175 GYL131175:GYP131175 HIH131175:HIL131175 HSD131175:HSH131175 IBZ131175:ICD131175 ILV131175:ILZ131175 IVR131175:IVV131175 JFN131175:JFR131175 JPJ131175:JPN131175 JZF131175:JZJ131175 KJB131175:KJF131175 KSX131175:KTB131175 LCT131175:LCX131175 LMP131175:LMT131175 LWL131175:LWP131175 MGH131175:MGL131175 MQD131175:MQH131175 MZZ131175:NAD131175 NJV131175:NJZ131175 NTR131175:NTV131175 ODN131175:ODR131175 ONJ131175:ONN131175 OXF131175:OXJ131175 PHB131175:PHF131175 PQX131175:PRB131175 QAT131175:QAX131175 QKP131175:QKT131175 QUL131175:QUP131175 REH131175:REL131175 ROD131175:ROH131175 RXZ131175:RYD131175 SHV131175:SHZ131175 SRR131175:SRV131175 TBN131175:TBR131175 TLJ131175:TLN131175 TVF131175:TVJ131175 UFB131175:UFF131175 UOX131175:UPB131175 UYT131175:UYX131175 VIP131175:VIT131175 VSL131175:VSP131175 WCH131175:WCL131175 WMD131175:WMH131175 WVZ131175:WWD131175 R196711:V196711 JN196711:JR196711 TJ196711:TN196711 ADF196711:ADJ196711 ANB196711:ANF196711 AWX196711:AXB196711 BGT196711:BGX196711 BQP196711:BQT196711 CAL196711:CAP196711 CKH196711:CKL196711 CUD196711:CUH196711 DDZ196711:DED196711 DNV196711:DNZ196711 DXR196711:DXV196711 EHN196711:EHR196711 ERJ196711:ERN196711 FBF196711:FBJ196711 FLB196711:FLF196711 FUX196711:FVB196711 GET196711:GEX196711 GOP196711:GOT196711 GYL196711:GYP196711 HIH196711:HIL196711 HSD196711:HSH196711 IBZ196711:ICD196711 ILV196711:ILZ196711 IVR196711:IVV196711 JFN196711:JFR196711 JPJ196711:JPN196711 JZF196711:JZJ196711 KJB196711:KJF196711 KSX196711:KTB196711 LCT196711:LCX196711 LMP196711:LMT196711 LWL196711:LWP196711 MGH196711:MGL196711 MQD196711:MQH196711 MZZ196711:NAD196711 NJV196711:NJZ196711 NTR196711:NTV196711 ODN196711:ODR196711 ONJ196711:ONN196711 OXF196711:OXJ196711 PHB196711:PHF196711 PQX196711:PRB196711 QAT196711:QAX196711 QKP196711:QKT196711 QUL196711:QUP196711 REH196711:REL196711 ROD196711:ROH196711 RXZ196711:RYD196711 SHV196711:SHZ196711 SRR196711:SRV196711 TBN196711:TBR196711 TLJ196711:TLN196711 TVF196711:TVJ196711 UFB196711:UFF196711 UOX196711:UPB196711 UYT196711:UYX196711 VIP196711:VIT196711 VSL196711:VSP196711 WCH196711:WCL196711 WMD196711:WMH196711 WVZ196711:WWD196711 R262247:V262247 JN262247:JR262247 TJ262247:TN262247 ADF262247:ADJ262247 ANB262247:ANF262247 AWX262247:AXB262247 BGT262247:BGX262247 BQP262247:BQT262247 CAL262247:CAP262247 CKH262247:CKL262247 CUD262247:CUH262247 DDZ262247:DED262247 DNV262247:DNZ262247 DXR262247:DXV262247 EHN262247:EHR262247 ERJ262247:ERN262247 FBF262247:FBJ262247 FLB262247:FLF262247 FUX262247:FVB262247 GET262247:GEX262247 GOP262247:GOT262247 GYL262247:GYP262247 HIH262247:HIL262247 HSD262247:HSH262247 IBZ262247:ICD262247 ILV262247:ILZ262247 IVR262247:IVV262247 JFN262247:JFR262247 JPJ262247:JPN262247 JZF262247:JZJ262247 KJB262247:KJF262247 KSX262247:KTB262247 LCT262247:LCX262247 LMP262247:LMT262247 LWL262247:LWP262247 MGH262247:MGL262247 MQD262247:MQH262247 MZZ262247:NAD262247 NJV262247:NJZ262247 NTR262247:NTV262247 ODN262247:ODR262247 ONJ262247:ONN262247 OXF262247:OXJ262247 PHB262247:PHF262247 PQX262247:PRB262247 QAT262247:QAX262247 QKP262247:QKT262247 QUL262247:QUP262247 REH262247:REL262247 ROD262247:ROH262247 RXZ262247:RYD262247 SHV262247:SHZ262247 SRR262247:SRV262247 TBN262247:TBR262247 TLJ262247:TLN262247 TVF262247:TVJ262247 UFB262247:UFF262247 UOX262247:UPB262247 UYT262247:UYX262247 VIP262247:VIT262247 VSL262247:VSP262247 WCH262247:WCL262247 WMD262247:WMH262247 WVZ262247:WWD262247 R327783:V327783 JN327783:JR327783 TJ327783:TN327783 ADF327783:ADJ327783 ANB327783:ANF327783 AWX327783:AXB327783 BGT327783:BGX327783 BQP327783:BQT327783 CAL327783:CAP327783 CKH327783:CKL327783 CUD327783:CUH327783 DDZ327783:DED327783 DNV327783:DNZ327783 DXR327783:DXV327783 EHN327783:EHR327783 ERJ327783:ERN327783 FBF327783:FBJ327783 FLB327783:FLF327783 FUX327783:FVB327783 GET327783:GEX327783 GOP327783:GOT327783 GYL327783:GYP327783 HIH327783:HIL327783 HSD327783:HSH327783 IBZ327783:ICD327783 ILV327783:ILZ327783 IVR327783:IVV327783 JFN327783:JFR327783 JPJ327783:JPN327783 JZF327783:JZJ327783 KJB327783:KJF327783 KSX327783:KTB327783 LCT327783:LCX327783 LMP327783:LMT327783 LWL327783:LWP327783 MGH327783:MGL327783 MQD327783:MQH327783 MZZ327783:NAD327783 NJV327783:NJZ327783 NTR327783:NTV327783 ODN327783:ODR327783 ONJ327783:ONN327783 OXF327783:OXJ327783 PHB327783:PHF327783 PQX327783:PRB327783 QAT327783:QAX327783 QKP327783:QKT327783 QUL327783:QUP327783 REH327783:REL327783 ROD327783:ROH327783 RXZ327783:RYD327783 SHV327783:SHZ327783 SRR327783:SRV327783 TBN327783:TBR327783 TLJ327783:TLN327783 TVF327783:TVJ327783 UFB327783:UFF327783 UOX327783:UPB327783 UYT327783:UYX327783 VIP327783:VIT327783 VSL327783:VSP327783 WCH327783:WCL327783 WMD327783:WMH327783 WVZ327783:WWD327783 R393319:V393319 JN393319:JR393319 TJ393319:TN393319 ADF393319:ADJ393319 ANB393319:ANF393319 AWX393319:AXB393319 BGT393319:BGX393319 BQP393319:BQT393319 CAL393319:CAP393319 CKH393319:CKL393319 CUD393319:CUH393319 DDZ393319:DED393319 DNV393319:DNZ393319 DXR393319:DXV393319 EHN393319:EHR393319 ERJ393319:ERN393319 FBF393319:FBJ393319 FLB393319:FLF393319 FUX393319:FVB393319 GET393319:GEX393319 GOP393319:GOT393319 GYL393319:GYP393319 HIH393319:HIL393319 HSD393319:HSH393319 IBZ393319:ICD393319 ILV393319:ILZ393319 IVR393319:IVV393319 JFN393319:JFR393319 JPJ393319:JPN393319 JZF393319:JZJ393319 KJB393319:KJF393319 KSX393319:KTB393319 LCT393319:LCX393319 LMP393319:LMT393319 LWL393319:LWP393319 MGH393319:MGL393319 MQD393319:MQH393319 MZZ393319:NAD393319 NJV393319:NJZ393319 NTR393319:NTV393319 ODN393319:ODR393319 ONJ393319:ONN393319 OXF393319:OXJ393319 PHB393319:PHF393319 PQX393319:PRB393319 QAT393319:QAX393319 QKP393319:QKT393319 QUL393319:QUP393319 REH393319:REL393319 ROD393319:ROH393319 RXZ393319:RYD393319 SHV393319:SHZ393319 SRR393319:SRV393319 TBN393319:TBR393319 TLJ393319:TLN393319 TVF393319:TVJ393319 UFB393319:UFF393319 UOX393319:UPB393319 UYT393319:UYX393319 VIP393319:VIT393319 VSL393319:VSP393319 WCH393319:WCL393319 WMD393319:WMH393319 WVZ393319:WWD393319 R458855:V458855 JN458855:JR458855 TJ458855:TN458855 ADF458855:ADJ458855 ANB458855:ANF458855 AWX458855:AXB458855 BGT458855:BGX458855 BQP458855:BQT458855 CAL458855:CAP458855 CKH458855:CKL458855 CUD458855:CUH458855 DDZ458855:DED458855 DNV458855:DNZ458855 DXR458855:DXV458855 EHN458855:EHR458855 ERJ458855:ERN458855 FBF458855:FBJ458855 FLB458855:FLF458855 FUX458855:FVB458855 GET458855:GEX458855 GOP458855:GOT458855 GYL458855:GYP458855 HIH458855:HIL458855 HSD458855:HSH458855 IBZ458855:ICD458855 ILV458855:ILZ458855 IVR458855:IVV458855 JFN458855:JFR458855 JPJ458855:JPN458855 JZF458855:JZJ458855 KJB458855:KJF458855 KSX458855:KTB458855 LCT458855:LCX458855 LMP458855:LMT458855 LWL458855:LWP458855 MGH458855:MGL458855 MQD458855:MQH458855 MZZ458855:NAD458855 NJV458855:NJZ458855 NTR458855:NTV458855 ODN458855:ODR458855 ONJ458855:ONN458855 OXF458855:OXJ458855 PHB458855:PHF458855 PQX458855:PRB458855 QAT458855:QAX458855 QKP458855:QKT458855 QUL458855:QUP458855 REH458855:REL458855 ROD458855:ROH458855 RXZ458855:RYD458855 SHV458855:SHZ458855 SRR458855:SRV458855 TBN458855:TBR458855 TLJ458855:TLN458855 TVF458855:TVJ458855 UFB458855:UFF458855 UOX458855:UPB458855 UYT458855:UYX458855 VIP458855:VIT458855 VSL458855:VSP458855 WCH458855:WCL458855 WMD458855:WMH458855 WVZ458855:WWD458855 R524391:V524391 JN524391:JR524391 TJ524391:TN524391 ADF524391:ADJ524391 ANB524391:ANF524391 AWX524391:AXB524391 BGT524391:BGX524391 BQP524391:BQT524391 CAL524391:CAP524391 CKH524391:CKL524391 CUD524391:CUH524391 DDZ524391:DED524391 DNV524391:DNZ524391 DXR524391:DXV524391 EHN524391:EHR524391 ERJ524391:ERN524391 FBF524391:FBJ524391 FLB524391:FLF524391 FUX524391:FVB524391 GET524391:GEX524391 GOP524391:GOT524391 GYL524391:GYP524391 HIH524391:HIL524391 HSD524391:HSH524391 IBZ524391:ICD524391 ILV524391:ILZ524391 IVR524391:IVV524391 JFN524391:JFR524391 JPJ524391:JPN524391 JZF524391:JZJ524391 KJB524391:KJF524391 KSX524391:KTB524391 LCT524391:LCX524391 LMP524391:LMT524391 LWL524391:LWP524391 MGH524391:MGL524391 MQD524391:MQH524391 MZZ524391:NAD524391 NJV524391:NJZ524391 NTR524391:NTV524391 ODN524391:ODR524391 ONJ524391:ONN524391 OXF524391:OXJ524391 PHB524391:PHF524391 PQX524391:PRB524391 QAT524391:QAX524391 QKP524391:QKT524391 QUL524391:QUP524391 REH524391:REL524391 ROD524391:ROH524391 RXZ524391:RYD524391 SHV524391:SHZ524391 SRR524391:SRV524391 TBN524391:TBR524391 TLJ524391:TLN524391 TVF524391:TVJ524391 UFB524391:UFF524391 UOX524391:UPB524391 UYT524391:UYX524391 VIP524391:VIT524391 VSL524391:VSP524391 WCH524391:WCL524391 WMD524391:WMH524391 WVZ524391:WWD524391 R589927:V589927 JN589927:JR589927 TJ589927:TN589927 ADF589927:ADJ589927 ANB589927:ANF589927 AWX589927:AXB589927 BGT589927:BGX589927 BQP589927:BQT589927 CAL589927:CAP589927 CKH589927:CKL589927 CUD589927:CUH589927 DDZ589927:DED589927 DNV589927:DNZ589927 DXR589927:DXV589927 EHN589927:EHR589927 ERJ589927:ERN589927 FBF589927:FBJ589927 FLB589927:FLF589927 FUX589927:FVB589927 GET589927:GEX589927 GOP589927:GOT589927 GYL589927:GYP589927 HIH589927:HIL589927 HSD589927:HSH589927 IBZ589927:ICD589927 ILV589927:ILZ589927 IVR589927:IVV589927 JFN589927:JFR589927 JPJ589927:JPN589927 JZF589927:JZJ589927 KJB589927:KJF589927 KSX589927:KTB589927 LCT589927:LCX589927 LMP589927:LMT589927 LWL589927:LWP589927 MGH589927:MGL589927 MQD589927:MQH589927 MZZ589927:NAD589927 NJV589927:NJZ589927 NTR589927:NTV589927 ODN589927:ODR589927 ONJ589927:ONN589927 OXF589927:OXJ589927 PHB589927:PHF589927 PQX589927:PRB589927 QAT589927:QAX589927 QKP589927:QKT589927 QUL589927:QUP589927 REH589927:REL589927 ROD589927:ROH589927 RXZ589927:RYD589927 SHV589927:SHZ589927 SRR589927:SRV589927 TBN589927:TBR589927 TLJ589927:TLN589927 TVF589927:TVJ589927 UFB589927:UFF589927 UOX589927:UPB589927 UYT589927:UYX589927 VIP589927:VIT589927 VSL589927:VSP589927 WCH589927:WCL589927 WMD589927:WMH589927 WVZ589927:WWD589927 R655463:V655463 JN655463:JR655463 TJ655463:TN655463 ADF655463:ADJ655463 ANB655463:ANF655463 AWX655463:AXB655463 BGT655463:BGX655463 BQP655463:BQT655463 CAL655463:CAP655463 CKH655463:CKL655463 CUD655463:CUH655463 DDZ655463:DED655463 DNV655463:DNZ655463 DXR655463:DXV655463 EHN655463:EHR655463 ERJ655463:ERN655463 FBF655463:FBJ655463 FLB655463:FLF655463 FUX655463:FVB655463 GET655463:GEX655463 GOP655463:GOT655463 GYL655463:GYP655463 HIH655463:HIL655463 HSD655463:HSH655463 IBZ655463:ICD655463 ILV655463:ILZ655463 IVR655463:IVV655463 JFN655463:JFR655463 JPJ655463:JPN655463 JZF655463:JZJ655463 KJB655463:KJF655463 KSX655463:KTB655463 LCT655463:LCX655463 LMP655463:LMT655463 LWL655463:LWP655463 MGH655463:MGL655463 MQD655463:MQH655463 MZZ655463:NAD655463 NJV655463:NJZ655463 NTR655463:NTV655463 ODN655463:ODR655463 ONJ655463:ONN655463 OXF655463:OXJ655463 PHB655463:PHF655463 PQX655463:PRB655463 QAT655463:QAX655463 QKP655463:QKT655463 QUL655463:QUP655463 REH655463:REL655463 ROD655463:ROH655463 RXZ655463:RYD655463 SHV655463:SHZ655463 SRR655463:SRV655463 TBN655463:TBR655463 TLJ655463:TLN655463 TVF655463:TVJ655463 UFB655463:UFF655463 UOX655463:UPB655463 UYT655463:UYX655463 VIP655463:VIT655463 VSL655463:VSP655463 WCH655463:WCL655463 WMD655463:WMH655463 WVZ655463:WWD655463 R720999:V720999 JN720999:JR720999 TJ720999:TN720999 ADF720999:ADJ720999 ANB720999:ANF720999 AWX720999:AXB720999 BGT720999:BGX720999 BQP720999:BQT720999 CAL720999:CAP720999 CKH720999:CKL720999 CUD720999:CUH720999 DDZ720999:DED720999 DNV720999:DNZ720999 DXR720999:DXV720999 EHN720999:EHR720999 ERJ720999:ERN720999 FBF720999:FBJ720999 FLB720999:FLF720999 FUX720999:FVB720999 GET720999:GEX720999 GOP720999:GOT720999 GYL720999:GYP720999 HIH720999:HIL720999 HSD720999:HSH720999 IBZ720999:ICD720999 ILV720999:ILZ720999 IVR720999:IVV720999 JFN720999:JFR720999 JPJ720999:JPN720999 JZF720999:JZJ720999 KJB720999:KJF720999 KSX720999:KTB720999 LCT720999:LCX720999 LMP720999:LMT720999 LWL720999:LWP720999 MGH720999:MGL720999 MQD720999:MQH720999 MZZ720999:NAD720999 NJV720999:NJZ720999 NTR720999:NTV720999 ODN720999:ODR720999 ONJ720999:ONN720999 OXF720999:OXJ720999 PHB720999:PHF720999 PQX720999:PRB720999 QAT720999:QAX720999 QKP720999:QKT720999 QUL720999:QUP720999 REH720999:REL720999 ROD720999:ROH720999 RXZ720999:RYD720999 SHV720999:SHZ720999 SRR720999:SRV720999 TBN720999:TBR720999 TLJ720999:TLN720999 TVF720999:TVJ720999 UFB720999:UFF720999 UOX720999:UPB720999 UYT720999:UYX720999 VIP720999:VIT720999 VSL720999:VSP720999 WCH720999:WCL720999 WMD720999:WMH720999 WVZ720999:WWD720999 R786535:V786535 JN786535:JR786535 TJ786535:TN786535 ADF786535:ADJ786535 ANB786535:ANF786535 AWX786535:AXB786535 BGT786535:BGX786535 BQP786535:BQT786535 CAL786535:CAP786535 CKH786535:CKL786535 CUD786535:CUH786535 DDZ786535:DED786535 DNV786535:DNZ786535 DXR786535:DXV786535 EHN786535:EHR786535 ERJ786535:ERN786535 FBF786535:FBJ786535 FLB786535:FLF786535 FUX786535:FVB786535 GET786535:GEX786535 GOP786535:GOT786535 GYL786535:GYP786535 HIH786535:HIL786535 HSD786535:HSH786535 IBZ786535:ICD786535 ILV786535:ILZ786535 IVR786535:IVV786535 JFN786535:JFR786535 JPJ786535:JPN786535 JZF786535:JZJ786535 KJB786535:KJF786535 KSX786535:KTB786535 LCT786535:LCX786535 LMP786535:LMT786535 LWL786535:LWP786535 MGH786535:MGL786535 MQD786535:MQH786535 MZZ786535:NAD786535 NJV786535:NJZ786535 NTR786535:NTV786535 ODN786535:ODR786535 ONJ786535:ONN786535 OXF786535:OXJ786535 PHB786535:PHF786535 PQX786535:PRB786535 QAT786535:QAX786535 QKP786535:QKT786535 QUL786535:QUP786535 REH786535:REL786535 ROD786535:ROH786535 RXZ786535:RYD786535 SHV786535:SHZ786535 SRR786535:SRV786535 TBN786535:TBR786535 TLJ786535:TLN786535 TVF786535:TVJ786535 UFB786535:UFF786535 UOX786535:UPB786535 UYT786535:UYX786535 VIP786535:VIT786535 VSL786535:VSP786535 WCH786535:WCL786535 WMD786535:WMH786535 WVZ786535:WWD786535 R852071:V852071 JN852071:JR852071 TJ852071:TN852071 ADF852071:ADJ852071 ANB852071:ANF852071 AWX852071:AXB852071 BGT852071:BGX852071 BQP852071:BQT852071 CAL852071:CAP852071 CKH852071:CKL852071 CUD852071:CUH852071 DDZ852071:DED852071 DNV852071:DNZ852071 DXR852071:DXV852071 EHN852071:EHR852071 ERJ852071:ERN852071 FBF852071:FBJ852071 FLB852071:FLF852071 FUX852071:FVB852071 GET852071:GEX852071 GOP852071:GOT852071 GYL852071:GYP852071 HIH852071:HIL852071 HSD852071:HSH852071 IBZ852071:ICD852071 ILV852071:ILZ852071 IVR852071:IVV852071 JFN852071:JFR852071 JPJ852071:JPN852071 JZF852071:JZJ852071 KJB852071:KJF852071 KSX852071:KTB852071 LCT852071:LCX852071 LMP852071:LMT852071 LWL852071:LWP852071 MGH852071:MGL852071 MQD852071:MQH852071 MZZ852071:NAD852071 NJV852071:NJZ852071 NTR852071:NTV852071 ODN852071:ODR852071 ONJ852071:ONN852071 OXF852071:OXJ852071 PHB852071:PHF852071 PQX852071:PRB852071 QAT852071:QAX852071 QKP852071:QKT852071 QUL852071:QUP852071 REH852071:REL852071 ROD852071:ROH852071 RXZ852071:RYD852071 SHV852071:SHZ852071 SRR852071:SRV852071 TBN852071:TBR852071 TLJ852071:TLN852071 TVF852071:TVJ852071 UFB852071:UFF852071 UOX852071:UPB852071 UYT852071:UYX852071 VIP852071:VIT852071 VSL852071:VSP852071 WCH852071:WCL852071 WMD852071:WMH852071 WVZ852071:WWD852071 R917607:V917607 JN917607:JR917607 TJ917607:TN917607 ADF917607:ADJ917607 ANB917607:ANF917607 AWX917607:AXB917607 BGT917607:BGX917607 BQP917607:BQT917607 CAL917607:CAP917607 CKH917607:CKL917607 CUD917607:CUH917607 DDZ917607:DED917607 DNV917607:DNZ917607 DXR917607:DXV917607 EHN917607:EHR917607 ERJ917607:ERN917607 FBF917607:FBJ917607 FLB917607:FLF917607 FUX917607:FVB917607 GET917607:GEX917607 GOP917607:GOT917607 GYL917607:GYP917607 HIH917607:HIL917607 HSD917607:HSH917607 IBZ917607:ICD917607 ILV917607:ILZ917607 IVR917607:IVV917607 JFN917607:JFR917607 JPJ917607:JPN917607 JZF917607:JZJ917607 KJB917607:KJF917607 KSX917607:KTB917607 LCT917607:LCX917607 LMP917607:LMT917607 LWL917607:LWP917607 MGH917607:MGL917607 MQD917607:MQH917607 MZZ917607:NAD917607 NJV917607:NJZ917607 NTR917607:NTV917607 ODN917607:ODR917607 ONJ917607:ONN917607 OXF917607:OXJ917607 PHB917607:PHF917607 PQX917607:PRB917607 QAT917607:QAX917607 QKP917607:QKT917607 QUL917607:QUP917607 REH917607:REL917607 ROD917607:ROH917607 RXZ917607:RYD917607 SHV917607:SHZ917607 SRR917607:SRV917607 TBN917607:TBR917607 TLJ917607:TLN917607 TVF917607:TVJ917607 UFB917607:UFF917607 UOX917607:UPB917607 UYT917607:UYX917607 VIP917607:VIT917607 VSL917607:VSP917607 WCH917607:WCL917607 WMD917607:WMH917607 WVZ917607:WWD917607 R983143:V983143 JN983143:JR983143 TJ983143:TN983143 ADF983143:ADJ983143 ANB983143:ANF983143 AWX983143:AXB983143 BGT983143:BGX983143 BQP983143:BQT983143 CAL983143:CAP983143 CKH983143:CKL983143 CUD983143:CUH983143 DDZ983143:DED983143 DNV983143:DNZ983143 DXR983143:DXV983143 EHN983143:EHR983143 ERJ983143:ERN983143 FBF983143:FBJ983143 FLB983143:FLF983143 FUX983143:FVB983143 GET983143:GEX983143 GOP983143:GOT983143 GYL983143:GYP983143 HIH983143:HIL983143 HSD983143:HSH983143 IBZ983143:ICD983143 ILV983143:ILZ983143 IVR983143:IVV983143 JFN983143:JFR983143 JPJ983143:JPN983143 JZF983143:JZJ983143 KJB983143:KJF983143 KSX983143:KTB983143 LCT983143:LCX983143 LMP983143:LMT983143 LWL983143:LWP983143 MGH983143:MGL983143 MQD983143:MQH983143 MZZ983143:NAD983143 NJV983143:NJZ983143 NTR983143:NTV983143 ODN983143:ODR983143 ONJ983143:ONN983143 OXF983143:OXJ983143 PHB983143:PHF983143 PQX983143:PRB983143 QAT983143:QAX983143 QKP983143:QKT983143 QUL983143:QUP983143 REH983143:REL983143 ROD983143:ROH983143 RXZ983143:RYD983143 SHV983143:SHZ983143 SRR983143:SRV983143 TBN983143:TBR983143 TLJ983143:TLN983143 TVF983143:TVJ983143 UFB983143:UFF983143 UOX983143:UPB983143 UYT983143:UYX983143 VIP983143:VIT983143 VSL983143:VSP983143 WCH983143:WCL983143 WMD983143:WMH983143 WVZ983143:WWD983143 J121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UOP983161 UYL983161 VIH983161 VSD983161 WBZ983161 WLV983161 WVR983161 G120:W120 JC120:JS120 SY120:TO120 ACU120:ADK120 AMQ120:ANG120 AWM120:AXC120 BGI120:BGY120 BQE120:BQU120 CAA120:CAQ120 CJW120:CKM120 CTS120:CUI120 DDO120:DEE120 DNK120:DOA120 DXG120:DXW120 EHC120:EHS120 EQY120:ERO120 FAU120:FBK120 FKQ120:FLG120 FUM120:FVC120 GEI120:GEY120 GOE120:GOU120 GYA120:GYQ120 HHW120:HIM120 HRS120:HSI120 IBO120:ICE120 ILK120:IMA120 IVG120:IVW120 JFC120:JFS120 JOY120:JPO120 JYU120:JZK120 KIQ120:KJG120 KSM120:KTC120 LCI120:LCY120 LME120:LMU120 LWA120:LWQ120 MFW120:MGM120 MPS120:MQI120 MZO120:NAE120 NJK120:NKA120 NTG120:NTW120 ODC120:ODS120 OMY120:ONO120 OWU120:OXK120 PGQ120:PHG120 PQM120:PRC120 QAI120:QAY120 QKE120:QKU120 QUA120:QUQ120 RDW120:REM120 RNS120:ROI120 RXO120:RYE120 SHK120:SIA120 SRG120:SRW120 TBC120:TBS120 TKY120:TLO120 TUU120:TVK120 UEQ120:UFG120 UOM120:UPC120 UYI120:UYY120 VIE120:VIU120 VSA120:VSQ120 WBW120:WCM120 WLS120:WMI120 WVO120:WWE120 G65656:W65656 JC65656:JS65656 SY65656:TO65656 ACU65656:ADK65656 AMQ65656:ANG65656 AWM65656:AXC65656 BGI65656:BGY65656 BQE65656:BQU65656 CAA65656:CAQ65656 CJW65656:CKM65656 CTS65656:CUI65656 DDO65656:DEE65656 DNK65656:DOA65656 DXG65656:DXW65656 EHC65656:EHS65656 EQY65656:ERO65656 FAU65656:FBK65656 FKQ65656:FLG65656 FUM65656:FVC65656 GEI65656:GEY65656 GOE65656:GOU65656 GYA65656:GYQ65656 HHW65656:HIM65656 HRS65656:HSI65656 IBO65656:ICE65656 ILK65656:IMA65656 IVG65656:IVW65656 JFC65656:JFS65656 JOY65656:JPO65656 JYU65656:JZK65656 KIQ65656:KJG65656 KSM65656:KTC65656 LCI65656:LCY65656 LME65656:LMU65656 LWA65656:LWQ65656 MFW65656:MGM65656 MPS65656:MQI65656 MZO65656:NAE65656 NJK65656:NKA65656 NTG65656:NTW65656 ODC65656:ODS65656 OMY65656:ONO65656 OWU65656:OXK65656 PGQ65656:PHG65656 PQM65656:PRC65656 QAI65656:QAY65656 QKE65656:QKU65656 QUA65656:QUQ65656 RDW65656:REM65656 RNS65656:ROI65656 RXO65656:RYE65656 SHK65656:SIA65656 SRG65656:SRW65656 TBC65656:TBS65656 TKY65656:TLO65656 TUU65656:TVK65656 UEQ65656:UFG65656 UOM65656:UPC65656 UYI65656:UYY65656 VIE65656:VIU65656 VSA65656:VSQ65656 WBW65656:WCM65656 WLS65656:WMI65656 WVO65656:WWE65656 G131192:W131192 JC131192:JS131192 SY131192:TO131192 ACU131192:ADK131192 AMQ131192:ANG131192 AWM131192:AXC131192 BGI131192:BGY131192 BQE131192:BQU131192 CAA131192:CAQ131192 CJW131192:CKM131192 CTS131192:CUI131192 DDO131192:DEE131192 DNK131192:DOA131192 DXG131192:DXW131192 EHC131192:EHS131192 EQY131192:ERO131192 FAU131192:FBK131192 FKQ131192:FLG131192 FUM131192:FVC131192 GEI131192:GEY131192 GOE131192:GOU131192 GYA131192:GYQ131192 HHW131192:HIM131192 HRS131192:HSI131192 IBO131192:ICE131192 ILK131192:IMA131192 IVG131192:IVW131192 JFC131192:JFS131192 JOY131192:JPO131192 JYU131192:JZK131192 KIQ131192:KJG131192 KSM131192:KTC131192 LCI131192:LCY131192 LME131192:LMU131192 LWA131192:LWQ131192 MFW131192:MGM131192 MPS131192:MQI131192 MZO131192:NAE131192 NJK131192:NKA131192 NTG131192:NTW131192 ODC131192:ODS131192 OMY131192:ONO131192 OWU131192:OXK131192 PGQ131192:PHG131192 PQM131192:PRC131192 QAI131192:QAY131192 QKE131192:QKU131192 QUA131192:QUQ131192 RDW131192:REM131192 RNS131192:ROI131192 RXO131192:RYE131192 SHK131192:SIA131192 SRG131192:SRW131192 TBC131192:TBS131192 TKY131192:TLO131192 TUU131192:TVK131192 UEQ131192:UFG131192 UOM131192:UPC131192 UYI131192:UYY131192 VIE131192:VIU131192 VSA131192:VSQ131192 WBW131192:WCM131192 WLS131192:WMI131192 WVO131192:WWE131192 G196728:W196728 JC196728:JS196728 SY196728:TO196728 ACU196728:ADK196728 AMQ196728:ANG196728 AWM196728:AXC196728 BGI196728:BGY196728 BQE196728:BQU196728 CAA196728:CAQ196728 CJW196728:CKM196728 CTS196728:CUI196728 DDO196728:DEE196728 DNK196728:DOA196728 DXG196728:DXW196728 EHC196728:EHS196728 EQY196728:ERO196728 FAU196728:FBK196728 FKQ196728:FLG196728 FUM196728:FVC196728 GEI196728:GEY196728 GOE196728:GOU196728 GYA196728:GYQ196728 HHW196728:HIM196728 HRS196728:HSI196728 IBO196728:ICE196728 ILK196728:IMA196728 IVG196728:IVW196728 JFC196728:JFS196728 JOY196728:JPO196728 JYU196728:JZK196728 KIQ196728:KJG196728 KSM196728:KTC196728 LCI196728:LCY196728 LME196728:LMU196728 LWA196728:LWQ196728 MFW196728:MGM196728 MPS196728:MQI196728 MZO196728:NAE196728 NJK196728:NKA196728 NTG196728:NTW196728 ODC196728:ODS196728 OMY196728:ONO196728 OWU196728:OXK196728 PGQ196728:PHG196728 PQM196728:PRC196728 QAI196728:QAY196728 QKE196728:QKU196728 QUA196728:QUQ196728 RDW196728:REM196728 RNS196728:ROI196728 RXO196728:RYE196728 SHK196728:SIA196728 SRG196728:SRW196728 TBC196728:TBS196728 TKY196728:TLO196728 TUU196728:TVK196728 UEQ196728:UFG196728 UOM196728:UPC196728 UYI196728:UYY196728 VIE196728:VIU196728 VSA196728:VSQ196728 WBW196728:WCM196728 WLS196728:WMI196728 WVO196728:WWE196728 G262264:W262264 JC262264:JS262264 SY262264:TO262264 ACU262264:ADK262264 AMQ262264:ANG262264 AWM262264:AXC262264 BGI262264:BGY262264 BQE262264:BQU262264 CAA262264:CAQ262264 CJW262264:CKM262264 CTS262264:CUI262264 DDO262264:DEE262264 DNK262264:DOA262264 DXG262264:DXW262264 EHC262264:EHS262264 EQY262264:ERO262264 FAU262264:FBK262264 FKQ262264:FLG262264 FUM262264:FVC262264 GEI262264:GEY262264 GOE262264:GOU262264 GYA262264:GYQ262264 HHW262264:HIM262264 HRS262264:HSI262264 IBO262264:ICE262264 ILK262264:IMA262264 IVG262264:IVW262264 JFC262264:JFS262264 JOY262264:JPO262264 JYU262264:JZK262264 KIQ262264:KJG262264 KSM262264:KTC262264 LCI262264:LCY262264 LME262264:LMU262264 LWA262264:LWQ262264 MFW262264:MGM262264 MPS262264:MQI262264 MZO262264:NAE262264 NJK262264:NKA262264 NTG262264:NTW262264 ODC262264:ODS262264 OMY262264:ONO262264 OWU262264:OXK262264 PGQ262264:PHG262264 PQM262264:PRC262264 QAI262264:QAY262264 QKE262264:QKU262264 QUA262264:QUQ262264 RDW262264:REM262264 RNS262264:ROI262264 RXO262264:RYE262264 SHK262264:SIA262264 SRG262264:SRW262264 TBC262264:TBS262264 TKY262264:TLO262264 TUU262264:TVK262264 UEQ262264:UFG262264 UOM262264:UPC262264 UYI262264:UYY262264 VIE262264:VIU262264 VSA262264:VSQ262264 WBW262264:WCM262264 WLS262264:WMI262264 WVO262264:WWE262264 G327800:W327800 JC327800:JS327800 SY327800:TO327800 ACU327800:ADK327800 AMQ327800:ANG327800 AWM327800:AXC327800 BGI327800:BGY327800 BQE327800:BQU327800 CAA327800:CAQ327800 CJW327800:CKM327800 CTS327800:CUI327800 DDO327800:DEE327800 DNK327800:DOA327800 DXG327800:DXW327800 EHC327800:EHS327800 EQY327800:ERO327800 FAU327800:FBK327800 FKQ327800:FLG327800 FUM327800:FVC327800 GEI327800:GEY327800 GOE327800:GOU327800 GYA327800:GYQ327800 HHW327800:HIM327800 HRS327800:HSI327800 IBO327800:ICE327800 ILK327800:IMA327800 IVG327800:IVW327800 JFC327800:JFS327800 JOY327800:JPO327800 JYU327800:JZK327800 KIQ327800:KJG327800 KSM327800:KTC327800 LCI327800:LCY327800 LME327800:LMU327800 LWA327800:LWQ327800 MFW327800:MGM327800 MPS327800:MQI327800 MZO327800:NAE327800 NJK327800:NKA327800 NTG327800:NTW327800 ODC327800:ODS327800 OMY327800:ONO327800 OWU327800:OXK327800 PGQ327800:PHG327800 PQM327800:PRC327800 QAI327800:QAY327800 QKE327800:QKU327800 QUA327800:QUQ327800 RDW327800:REM327800 RNS327800:ROI327800 RXO327800:RYE327800 SHK327800:SIA327800 SRG327800:SRW327800 TBC327800:TBS327800 TKY327800:TLO327800 TUU327800:TVK327800 UEQ327800:UFG327800 UOM327800:UPC327800 UYI327800:UYY327800 VIE327800:VIU327800 VSA327800:VSQ327800 WBW327800:WCM327800 WLS327800:WMI327800 WVO327800:WWE327800 G393336:W393336 JC393336:JS393336 SY393336:TO393336 ACU393336:ADK393336 AMQ393336:ANG393336 AWM393336:AXC393336 BGI393336:BGY393336 BQE393336:BQU393336 CAA393336:CAQ393336 CJW393336:CKM393336 CTS393336:CUI393336 DDO393336:DEE393336 DNK393336:DOA393336 DXG393336:DXW393336 EHC393336:EHS393336 EQY393336:ERO393336 FAU393336:FBK393336 FKQ393336:FLG393336 FUM393336:FVC393336 GEI393336:GEY393336 GOE393336:GOU393336 GYA393336:GYQ393336 HHW393336:HIM393336 HRS393336:HSI393336 IBO393336:ICE393336 ILK393336:IMA393336 IVG393336:IVW393336 JFC393336:JFS393336 JOY393336:JPO393336 JYU393336:JZK393336 KIQ393336:KJG393336 KSM393336:KTC393336 LCI393336:LCY393336 LME393336:LMU393336 LWA393336:LWQ393336 MFW393336:MGM393336 MPS393336:MQI393336 MZO393336:NAE393336 NJK393336:NKA393336 NTG393336:NTW393336 ODC393336:ODS393336 OMY393336:ONO393336 OWU393336:OXK393336 PGQ393336:PHG393336 PQM393336:PRC393336 QAI393336:QAY393336 QKE393336:QKU393336 QUA393336:QUQ393336 RDW393336:REM393336 RNS393336:ROI393336 RXO393336:RYE393336 SHK393336:SIA393336 SRG393336:SRW393336 TBC393336:TBS393336 TKY393336:TLO393336 TUU393336:TVK393336 UEQ393336:UFG393336 UOM393336:UPC393336 UYI393336:UYY393336 VIE393336:VIU393336 VSA393336:VSQ393336 WBW393336:WCM393336 WLS393336:WMI393336 WVO393336:WWE393336 G458872:W458872 JC458872:JS458872 SY458872:TO458872 ACU458872:ADK458872 AMQ458872:ANG458872 AWM458872:AXC458872 BGI458872:BGY458872 BQE458872:BQU458872 CAA458872:CAQ458872 CJW458872:CKM458872 CTS458872:CUI458872 DDO458872:DEE458872 DNK458872:DOA458872 DXG458872:DXW458872 EHC458872:EHS458872 EQY458872:ERO458872 FAU458872:FBK458872 FKQ458872:FLG458872 FUM458872:FVC458872 GEI458872:GEY458872 GOE458872:GOU458872 GYA458872:GYQ458872 HHW458872:HIM458872 HRS458872:HSI458872 IBO458872:ICE458872 ILK458872:IMA458872 IVG458872:IVW458872 JFC458872:JFS458872 JOY458872:JPO458872 JYU458872:JZK458872 KIQ458872:KJG458872 KSM458872:KTC458872 LCI458872:LCY458872 LME458872:LMU458872 LWA458872:LWQ458872 MFW458872:MGM458872 MPS458872:MQI458872 MZO458872:NAE458872 NJK458872:NKA458872 NTG458872:NTW458872 ODC458872:ODS458872 OMY458872:ONO458872 OWU458872:OXK458872 PGQ458872:PHG458872 PQM458872:PRC458872 QAI458872:QAY458872 QKE458872:QKU458872 QUA458872:QUQ458872 RDW458872:REM458872 RNS458872:ROI458872 RXO458872:RYE458872 SHK458872:SIA458872 SRG458872:SRW458872 TBC458872:TBS458872 TKY458872:TLO458872 TUU458872:TVK458872 UEQ458872:UFG458872 UOM458872:UPC458872 UYI458872:UYY458872 VIE458872:VIU458872 VSA458872:VSQ458872 WBW458872:WCM458872 WLS458872:WMI458872 WVO458872:WWE458872 G524408:W524408 JC524408:JS524408 SY524408:TO524408 ACU524408:ADK524408 AMQ524408:ANG524408 AWM524408:AXC524408 BGI524408:BGY524408 BQE524408:BQU524408 CAA524408:CAQ524408 CJW524408:CKM524408 CTS524408:CUI524408 DDO524408:DEE524408 DNK524408:DOA524408 DXG524408:DXW524408 EHC524408:EHS524408 EQY524408:ERO524408 FAU524408:FBK524408 FKQ524408:FLG524408 FUM524408:FVC524408 GEI524408:GEY524408 GOE524408:GOU524408 GYA524408:GYQ524408 HHW524408:HIM524408 HRS524408:HSI524408 IBO524408:ICE524408 ILK524408:IMA524408 IVG524408:IVW524408 JFC524408:JFS524408 JOY524408:JPO524408 JYU524408:JZK524408 KIQ524408:KJG524408 KSM524408:KTC524408 LCI524408:LCY524408 LME524408:LMU524408 LWA524408:LWQ524408 MFW524408:MGM524408 MPS524408:MQI524408 MZO524408:NAE524408 NJK524408:NKA524408 NTG524408:NTW524408 ODC524408:ODS524408 OMY524408:ONO524408 OWU524408:OXK524408 PGQ524408:PHG524408 PQM524408:PRC524408 QAI524408:QAY524408 QKE524408:QKU524408 QUA524408:QUQ524408 RDW524408:REM524408 RNS524408:ROI524408 RXO524408:RYE524408 SHK524408:SIA524408 SRG524408:SRW524408 TBC524408:TBS524408 TKY524408:TLO524408 TUU524408:TVK524408 UEQ524408:UFG524408 UOM524408:UPC524408 UYI524408:UYY524408 VIE524408:VIU524408 VSA524408:VSQ524408 WBW524408:WCM524408 WLS524408:WMI524408 WVO524408:WWE524408 G589944:W589944 JC589944:JS589944 SY589944:TO589944 ACU589944:ADK589944 AMQ589944:ANG589944 AWM589944:AXC589944 BGI589944:BGY589944 BQE589944:BQU589944 CAA589944:CAQ589944 CJW589944:CKM589944 CTS589944:CUI589944 DDO589944:DEE589944 DNK589944:DOA589944 DXG589944:DXW589944 EHC589944:EHS589944 EQY589944:ERO589944 FAU589944:FBK589944 FKQ589944:FLG589944 FUM589944:FVC589944 GEI589944:GEY589944 GOE589944:GOU589944 GYA589944:GYQ589944 HHW589944:HIM589944 HRS589944:HSI589944 IBO589944:ICE589944 ILK589944:IMA589944 IVG589944:IVW589944 JFC589944:JFS589944 JOY589944:JPO589944 JYU589944:JZK589944 KIQ589944:KJG589944 KSM589944:KTC589944 LCI589944:LCY589944 LME589944:LMU589944 LWA589944:LWQ589944 MFW589944:MGM589944 MPS589944:MQI589944 MZO589944:NAE589944 NJK589944:NKA589944 NTG589944:NTW589944 ODC589944:ODS589944 OMY589944:ONO589944 OWU589944:OXK589944 PGQ589944:PHG589944 PQM589944:PRC589944 QAI589944:QAY589944 QKE589944:QKU589944 QUA589944:QUQ589944 RDW589944:REM589944 RNS589944:ROI589944 RXO589944:RYE589944 SHK589944:SIA589944 SRG589944:SRW589944 TBC589944:TBS589944 TKY589944:TLO589944 TUU589944:TVK589944 UEQ589944:UFG589944 UOM589944:UPC589944 UYI589944:UYY589944 VIE589944:VIU589944 VSA589944:VSQ589944 WBW589944:WCM589944 WLS589944:WMI589944 WVO589944:WWE589944 G655480:W655480 JC655480:JS655480 SY655480:TO655480 ACU655480:ADK655480 AMQ655480:ANG655480 AWM655480:AXC655480 BGI655480:BGY655480 BQE655480:BQU655480 CAA655480:CAQ655480 CJW655480:CKM655480 CTS655480:CUI655480 DDO655480:DEE655480 DNK655480:DOA655480 DXG655480:DXW655480 EHC655480:EHS655480 EQY655480:ERO655480 FAU655480:FBK655480 FKQ655480:FLG655480 FUM655480:FVC655480 GEI655480:GEY655480 GOE655480:GOU655480 GYA655480:GYQ655480 HHW655480:HIM655480 HRS655480:HSI655480 IBO655480:ICE655480 ILK655480:IMA655480 IVG655480:IVW655480 JFC655480:JFS655480 JOY655480:JPO655480 JYU655480:JZK655480 KIQ655480:KJG655480 KSM655480:KTC655480 LCI655480:LCY655480 LME655480:LMU655480 LWA655480:LWQ655480 MFW655480:MGM655480 MPS655480:MQI655480 MZO655480:NAE655480 NJK655480:NKA655480 NTG655480:NTW655480 ODC655480:ODS655480 OMY655480:ONO655480 OWU655480:OXK655480 PGQ655480:PHG655480 PQM655480:PRC655480 QAI655480:QAY655480 QKE655480:QKU655480 QUA655480:QUQ655480 RDW655480:REM655480 RNS655480:ROI655480 RXO655480:RYE655480 SHK655480:SIA655480 SRG655480:SRW655480 TBC655480:TBS655480 TKY655480:TLO655480 TUU655480:TVK655480 UEQ655480:UFG655480 UOM655480:UPC655480 UYI655480:UYY655480 VIE655480:VIU655480 VSA655480:VSQ655480 WBW655480:WCM655480 WLS655480:WMI655480 WVO655480:WWE655480 G721016:W721016 JC721016:JS721016 SY721016:TO721016 ACU721016:ADK721016 AMQ721016:ANG721016 AWM721016:AXC721016 BGI721016:BGY721016 BQE721016:BQU721016 CAA721016:CAQ721016 CJW721016:CKM721016 CTS721016:CUI721016 DDO721016:DEE721016 DNK721016:DOA721016 DXG721016:DXW721016 EHC721016:EHS721016 EQY721016:ERO721016 FAU721016:FBK721016 FKQ721016:FLG721016 FUM721016:FVC721016 GEI721016:GEY721016 GOE721016:GOU721016 GYA721016:GYQ721016 HHW721016:HIM721016 HRS721016:HSI721016 IBO721016:ICE721016 ILK721016:IMA721016 IVG721016:IVW721016 JFC721016:JFS721016 JOY721016:JPO721016 JYU721016:JZK721016 KIQ721016:KJG721016 KSM721016:KTC721016 LCI721016:LCY721016 LME721016:LMU721016 LWA721016:LWQ721016 MFW721016:MGM721016 MPS721016:MQI721016 MZO721016:NAE721016 NJK721016:NKA721016 NTG721016:NTW721016 ODC721016:ODS721016 OMY721016:ONO721016 OWU721016:OXK721016 PGQ721016:PHG721016 PQM721016:PRC721016 QAI721016:QAY721016 QKE721016:QKU721016 QUA721016:QUQ721016 RDW721016:REM721016 RNS721016:ROI721016 RXO721016:RYE721016 SHK721016:SIA721016 SRG721016:SRW721016 TBC721016:TBS721016 TKY721016:TLO721016 TUU721016:TVK721016 UEQ721016:UFG721016 UOM721016:UPC721016 UYI721016:UYY721016 VIE721016:VIU721016 VSA721016:VSQ721016 WBW721016:WCM721016 WLS721016:WMI721016 WVO721016:WWE721016 G786552:W786552 JC786552:JS786552 SY786552:TO786552 ACU786552:ADK786552 AMQ786552:ANG786552 AWM786552:AXC786552 BGI786552:BGY786552 BQE786552:BQU786552 CAA786552:CAQ786552 CJW786552:CKM786552 CTS786552:CUI786552 DDO786552:DEE786552 DNK786552:DOA786552 DXG786552:DXW786552 EHC786552:EHS786552 EQY786552:ERO786552 FAU786552:FBK786552 FKQ786552:FLG786552 FUM786552:FVC786552 GEI786552:GEY786552 GOE786552:GOU786552 GYA786552:GYQ786552 HHW786552:HIM786552 HRS786552:HSI786552 IBO786552:ICE786552 ILK786552:IMA786552 IVG786552:IVW786552 JFC786552:JFS786552 JOY786552:JPO786552 JYU786552:JZK786552 KIQ786552:KJG786552 KSM786552:KTC786552 LCI786552:LCY786552 LME786552:LMU786552 LWA786552:LWQ786552 MFW786552:MGM786552 MPS786552:MQI786552 MZO786552:NAE786552 NJK786552:NKA786552 NTG786552:NTW786552 ODC786552:ODS786552 OMY786552:ONO786552 OWU786552:OXK786552 PGQ786552:PHG786552 PQM786552:PRC786552 QAI786552:QAY786552 QKE786552:QKU786552 QUA786552:QUQ786552 RDW786552:REM786552 RNS786552:ROI786552 RXO786552:RYE786552 SHK786552:SIA786552 SRG786552:SRW786552 TBC786552:TBS786552 TKY786552:TLO786552 TUU786552:TVK786552 UEQ786552:UFG786552 UOM786552:UPC786552 UYI786552:UYY786552 VIE786552:VIU786552 VSA786552:VSQ786552 WBW786552:WCM786552 WLS786552:WMI786552 WVO786552:WWE786552 G852088:W852088 JC852088:JS852088 SY852088:TO852088 ACU852088:ADK852088 AMQ852088:ANG852088 AWM852088:AXC852088 BGI852088:BGY852088 BQE852088:BQU852088 CAA852088:CAQ852088 CJW852088:CKM852088 CTS852088:CUI852088 DDO852088:DEE852088 DNK852088:DOA852088 DXG852088:DXW852088 EHC852088:EHS852088 EQY852088:ERO852088 FAU852088:FBK852088 FKQ852088:FLG852088 FUM852088:FVC852088 GEI852088:GEY852088 GOE852088:GOU852088 GYA852088:GYQ852088 HHW852088:HIM852088 HRS852088:HSI852088 IBO852088:ICE852088 ILK852088:IMA852088 IVG852088:IVW852088 JFC852088:JFS852088 JOY852088:JPO852088 JYU852088:JZK852088 KIQ852088:KJG852088 KSM852088:KTC852088 LCI852088:LCY852088 LME852088:LMU852088 LWA852088:LWQ852088 MFW852088:MGM852088 MPS852088:MQI852088 MZO852088:NAE852088 NJK852088:NKA852088 NTG852088:NTW852088 ODC852088:ODS852088 OMY852088:ONO852088 OWU852088:OXK852088 PGQ852088:PHG852088 PQM852088:PRC852088 QAI852088:QAY852088 QKE852088:QKU852088 QUA852088:QUQ852088 RDW852088:REM852088 RNS852088:ROI852088 RXO852088:RYE852088 SHK852088:SIA852088 SRG852088:SRW852088 TBC852088:TBS852088 TKY852088:TLO852088 TUU852088:TVK852088 UEQ852088:UFG852088 UOM852088:UPC852088 UYI852088:UYY852088 VIE852088:VIU852088 VSA852088:VSQ852088 WBW852088:WCM852088 WLS852088:WMI852088 WVO852088:WWE852088 G917624:W917624 JC917624:JS917624 SY917624:TO917624 ACU917624:ADK917624 AMQ917624:ANG917624 AWM917624:AXC917624 BGI917624:BGY917624 BQE917624:BQU917624 CAA917624:CAQ917624 CJW917624:CKM917624 CTS917624:CUI917624 DDO917624:DEE917624 DNK917624:DOA917624 DXG917624:DXW917624 EHC917624:EHS917624 EQY917624:ERO917624 FAU917624:FBK917624 FKQ917624:FLG917624 FUM917624:FVC917624 GEI917624:GEY917624 GOE917624:GOU917624 GYA917624:GYQ917624 HHW917624:HIM917624 HRS917624:HSI917624 IBO917624:ICE917624 ILK917624:IMA917624 IVG917624:IVW917624 JFC917624:JFS917624 JOY917624:JPO917624 JYU917624:JZK917624 KIQ917624:KJG917624 KSM917624:KTC917624 LCI917624:LCY917624 LME917624:LMU917624 LWA917624:LWQ917624 MFW917624:MGM917624 MPS917624:MQI917624 MZO917624:NAE917624 NJK917624:NKA917624 NTG917624:NTW917624 ODC917624:ODS917624 OMY917624:ONO917624 OWU917624:OXK917624 PGQ917624:PHG917624 PQM917624:PRC917624 QAI917624:QAY917624 QKE917624:QKU917624 QUA917624:QUQ917624 RDW917624:REM917624 RNS917624:ROI917624 RXO917624:RYE917624 SHK917624:SIA917624 SRG917624:SRW917624 TBC917624:TBS917624 TKY917624:TLO917624 TUU917624:TVK917624 UEQ917624:UFG917624 UOM917624:UPC917624 UYI917624:UYY917624 VIE917624:VIU917624 VSA917624:VSQ917624 WBW917624:WCM917624 WLS917624:WMI917624 WVO917624:WWE917624 G983160:W983160 JC983160:JS983160 SY983160:TO983160 ACU983160:ADK983160 AMQ983160:ANG983160 AWM983160:AXC983160 BGI983160:BGY983160 BQE983160:BQU983160 CAA983160:CAQ983160 CJW983160:CKM983160 CTS983160:CUI983160 DDO983160:DEE983160 DNK983160:DOA983160 DXG983160:DXW983160 EHC983160:EHS983160 EQY983160:ERO983160 FAU983160:FBK983160 FKQ983160:FLG983160 FUM983160:FVC983160 GEI983160:GEY983160 GOE983160:GOU983160 GYA983160:GYQ983160 HHW983160:HIM983160 HRS983160:HSI983160 IBO983160:ICE983160 ILK983160:IMA983160 IVG983160:IVW983160 JFC983160:JFS983160 JOY983160:JPO983160 JYU983160:JZK983160 KIQ983160:KJG983160 KSM983160:KTC983160 LCI983160:LCY983160 LME983160:LMU983160 LWA983160:LWQ983160 MFW983160:MGM983160 MPS983160:MQI983160 MZO983160:NAE983160 NJK983160:NKA983160 NTG983160:NTW983160 ODC983160:ODS983160 OMY983160:ONO983160 OWU983160:OXK983160 PGQ983160:PHG983160 PQM983160:PRC983160 QAI983160:QAY983160 QKE983160:QKU983160 QUA983160:QUQ983160 RDW983160:REM983160 RNS983160:ROI983160 RXO983160:RYE983160 SHK983160:SIA983160 SRG983160:SRW983160 TBC983160:TBS983160 TKY983160:TLO983160 TUU983160:TVK983160 UEQ983160:UFG983160 UOM983160:UPC983160 UYI983160:UYY983160 VIE983160:VIU983160 VSA983160:VSQ983160 WBW983160:WCM983160 WLS983160:WMI983160 WVO983160:WWE983160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R115:V115 JN115:JR115 TJ115:TN115 ADF115:ADJ115 ANB115:ANF115 AWX115:AXB115 BGT115:BGX115 BQP115:BQT115 CAL115:CAP115 CKH115:CKL115 CUD115:CUH115 DDZ115:DED115 DNV115:DNZ115 DXR115:DXV115 EHN115:EHR115 ERJ115:ERN115 FBF115:FBJ115 FLB115:FLF115 FUX115:FVB115 GET115:GEX115 GOP115:GOT115 GYL115:GYP115 HIH115:HIL115 HSD115:HSH115 IBZ115:ICD115 ILV115:ILZ115 IVR115:IVV115 JFN115:JFR115 JPJ115:JPN115 JZF115:JZJ115 KJB115:KJF115 KSX115:KTB115 LCT115:LCX115 LMP115:LMT115 LWL115:LWP115 MGH115:MGL115 MQD115:MQH115 MZZ115:NAD115 NJV115:NJZ115 NTR115:NTV115 ODN115:ODR115 ONJ115:ONN115 OXF115:OXJ115 PHB115:PHF115 PQX115:PRB115 QAT115:QAX115 QKP115:QKT115 QUL115:QUP115 REH115:REL115 ROD115:ROH115 RXZ115:RYD115 SHV115:SHZ115 SRR115:SRV115 TBN115:TBR115 TLJ115:TLN115 TVF115:TVJ115 UFB115:UFF115 UOX115:UPB115 UYT115:UYX115 VIP115:VIT115 VSL115:VSP115 WCH115:WCL115 WMD115:WMH115 WVZ115:WWD115 R65651:V65651 JN65651:JR65651 TJ65651:TN65651 ADF65651:ADJ65651 ANB65651:ANF65651 AWX65651:AXB65651 BGT65651:BGX65651 BQP65651:BQT65651 CAL65651:CAP65651 CKH65651:CKL65651 CUD65651:CUH65651 DDZ65651:DED65651 DNV65651:DNZ65651 DXR65651:DXV65651 EHN65651:EHR65651 ERJ65651:ERN65651 FBF65651:FBJ65651 FLB65651:FLF65651 FUX65651:FVB65651 GET65651:GEX65651 GOP65651:GOT65651 GYL65651:GYP65651 HIH65651:HIL65651 HSD65651:HSH65651 IBZ65651:ICD65651 ILV65651:ILZ65651 IVR65651:IVV65651 JFN65651:JFR65651 JPJ65651:JPN65651 JZF65651:JZJ65651 KJB65651:KJF65651 KSX65651:KTB65651 LCT65651:LCX65651 LMP65651:LMT65651 LWL65651:LWP65651 MGH65651:MGL65651 MQD65651:MQH65651 MZZ65651:NAD65651 NJV65651:NJZ65651 NTR65651:NTV65651 ODN65651:ODR65651 ONJ65651:ONN65651 OXF65651:OXJ65651 PHB65651:PHF65651 PQX65651:PRB65651 QAT65651:QAX65651 QKP65651:QKT65651 QUL65651:QUP65651 REH65651:REL65651 ROD65651:ROH65651 RXZ65651:RYD65651 SHV65651:SHZ65651 SRR65651:SRV65651 TBN65651:TBR65651 TLJ65651:TLN65651 TVF65651:TVJ65651 UFB65651:UFF65651 UOX65651:UPB65651 UYT65651:UYX65651 VIP65651:VIT65651 VSL65651:VSP65651 WCH65651:WCL65651 WMD65651:WMH65651 WVZ65651:WWD65651 R131187:V131187 JN131187:JR131187 TJ131187:TN131187 ADF131187:ADJ131187 ANB131187:ANF131187 AWX131187:AXB131187 BGT131187:BGX131187 BQP131187:BQT131187 CAL131187:CAP131187 CKH131187:CKL131187 CUD131187:CUH131187 DDZ131187:DED131187 DNV131187:DNZ131187 DXR131187:DXV131187 EHN131187:EHR131187 ERJ131187:ERN131187 FBF131187:FBJ131187 FLB131187:FLF131187 FUX131187:FVB131187 GET131187:GEX131187 GOP131187:GOT131187 GYL131187:GYP131187 HIH131187:HIL131187 HSD131187:HSH131187 IBZ131187:ICD131187 ILV131187:ILZ131187 IVR131187:IVV131187 JFN131187:JFR131187 JPJ131187:JPN131187 JZF131187:JZJ131187 KJB131187:KJF131187 KSX131187:KTB131187 LCT131187:LCX131187 LMP131187:LMT131187 LWL131187:LWP131187 MGH131187:MGL131187 MQD131187:MQH131187 MZZ131187:NAD131187 NJV131187:NJZ131187 NTR131187:NTV131187 ODN131187:ODR131187 ONJ131187:ONN131187 OXF131187:OXJ131187 PHB131187:PHF131187 PQX131187:PRB131187 QAT131187:QAX131187 QKP131187:QKT131187 QUL131187:QUP131187 REH131187:REL131187 ROD131187:ROH131187 RXZ131187:RYD131187 SHV131187:SHZ131187 SRR131187:SRV131187 TBN131187:TBR131187 TLJ131187:TLN131187 TVF131187:TVJ131187 UFB131187:UFF131187 UOX131187:UPB131187 UYT131187:UYX131187 VIP131187:VIT131187 VSL131187:VSP131187 WCH131187:WCL131187 WMD131187:WMH131187 WVZ131187:WWD131187 R196723:V196723 JN196723:JR196723 TJ196723:TN196723 ADF196723:ADJ196723 ANB196723:ANF196723 AWX196723:AXB196723 BGT196723:BGX196723 BQP196723:BQT196723 CAL196723:CAP196723 CKH196723:CKL196723 CUD196723:CUH196723 DDZ196723:DED196723 DNV196723:DNZ196723 DXR196723:DXV196723 EHN196723:EHR196723 ERJ196723:ERN196723 FBF196723:FBJ196723 FLB196723:FLF196723 FUX196723:FVB196723 GET196723:GEX196723 GOP196723:GOT196723 GYL196723:GYP196723 HIH196723:HIL196723 HSD196723:HSH196723 IBZ196723:ICD196723 ILV196723:ILZ196723 IVR196723:IVV196723 JFN196723:JFR196723 JPJ196723:JPN196723 JZF196723:JZJ196723 KJB196723:KJF196723 KSX196723:KTB196723 LCT196723:LCX196723 LMP196723:LMT196723 LWL196723:LWP196723 MGH196723:MGL196723 MQD196723:MQH196723 MZZ196723:NAD196723 NJV196723:NJZ196723 NTR196723:NTV196723 ODN196723:ODR196723 ONJ196723:ONN196723 OXF196723:OXJ196723 PHB196723:PHF196723 PQX196723:PRB196723 QAT196723:QAX196723 QKP196723:QKT196723 QUL196723:QUP196723 REH196723:REL196723 ROD196723:ROH196723 RXZ196723:RYD196723 SHV196723:SHZ196723 SRR196723:SRV196723 TBN196723:TBR196723 TLJ196723:TLN196723 TVF196723:TVJ196723 UFB196723:UFF196723 UOX196723:UPB196723 UYT196723:UYX196723 VIP196723:VIT196723 VSL196723:VSP196723 WCH196723:WCL196723 WMD196723:WMH196723 WVZ196723:WWD196723 R262259:V262259 JN262259:JR262259 TJ262259:TN262259 ADF262259:ADJ262259 ANB262259:ANF262259 AWX262259:AXB262259 BGT262259:BGX262259 BQP262259:BQT262259 CAL262259:CAP262259 CKH262259:CKL262259 CUD262259:CUH262259 DDZ262259:DED262259 DNV262259:DNZ262259 DXR262259:DXV262259 EHN262259:EHR262259 ERJ262259:ERN262259 FBF262259:FBJ262259 FLB262259:FLF262259 FUX262259:FVB262259 GET262259:GEX262259 GOP262259:GOT262259 GYL262259:GYP262259 HIH262259:HIL262259 HSD262259:HSH262259 IBZ262259:ICD262259 ILV262259:ILZ262259 IVR262259:IVV262259 JFN262259:JFR262259 JPJ262259:JPN262259 JZF262259:JZJ262259 KJB262259:KJF262259 KSX262259:KTB262259 LCT262259:LCX262259 LMP262259:LMT262259 LWL262259:LWP262259 MGH262259:MGL262259 MQD262259:MQH262259 MZZ262259:NAD262259 NJV262259:NJZ262259 NTR262259:NTV262259 ODN262259:ODR262259 ONJ262259:ONN262259 OXF262259:OXJ262259 PHB262259:PHF262259 PQX262259:PRB262259 QAT262259:QAX262259 QKP262259:QKT262259 QUL262259:QUP262259 REH262259:REL262259 ROD262259:ROH262259 RXZ262259:RYD262259 SHV262259:SHZ262259 SRR262259:SRV262259 TBN262259:TBR262259 TLJ262259:TLN262259 TVF262259:TVJ262259 UFB262259:UFF262259 UOX262259:UPB262259 UYT262259:UYX262259 VIP262259:VIT262259 VSL262259:VSP262259 WCH262259:WCL262259 WMD262259:WMH262259 WVZ262259:WWD262259 R327795:V327795 JN327795:JR327795 TJ327795:TN327795 ADF327795:ADJ327795 ANB327795:ANF327795 AWX327795:AXB327795 BGT327795:BGX327795 BQP327795:BQT327795 CAL327795:CAP327795 CKH327795:CKL327795 CUD327795:CUH327795 DDZ327795:DED327795 DNV327795:DNZ327795 DXR327795:DXV327795 EHN327795:EHR327795 ERJ327795:ERN327795 FBF327795:FBJ327795 FLB327795:FLF327795 FUX327795:FVB327795 GET327795:GEX327795 GOP327795:GOT327795 GYL327795:GYP327795 HIH327795:HIL327795 HSD327795:HSH327795 IBZ327795:ICD327795 ILV327795:ILZ327795 IVR327795:IVV327795 JFN327795:JFR327795 JPJ327795:JPN327795 JZF327795:JZJ327795 KJB327795:KJF327795 KSX327795:KTB327795 LCT327795:LCX327795 LMP327795:LMT327795 LWL327795:LWP327795 MGH327795:MGL327795 MQD327795:MQH327795 MZZ327795:NAD327795 NJV327795:NJZ327795 NTR327795:NTV327795 ODN327795:ODR327795 ONJ327795:ONN327795 OXF327795:OXJ327795 PHB327795:PHF327795 PQX327795:PRB327795 QAT327795:QAX327795 QKP327795:QKT327795 QUL327795:QUP327795 REH327795:REL327795 ROD327795:ROH327795 RXZ327795:RYD327795 SHV327795:SHZ327795 SRR327795:SRV327795 TBN327795:TBR327795 TLJ327795:TLN327795 TVF327795:TVJ327795 UFB327795:UFF327795 UOX327795:UPB327795 UYT327795:UYX327795 VIP327795:VIT327795 VSL327795:VSP327795 WCH327795:WCL327795 WMD327795:WMH327795 WVZ327795:WWD327795 R393331:V393331 JN393331:JR393331 TJ393331:TN393331 ADF393331:ADJ393331 ANB393331:ANF393331 AWX393331:AXB393331 BGT393331:BGX393331 BQP393331:BQT393331 CAL393331:CAP393331 CKH393331:CKL393331 CUD393331:CUH393331 DDZ393331:DED393331 DNV393331:DNZ393331 DXR393331:DXV393331 EHN393331:EHR393331 ERJ393331:ERN393331 FBF393331:FBJ393331 FLB393331:FLF393331 FUX393331:FVB393331 GET393331:GEX393331 GOP393331:GOT393331 GYL393331:GYP393331 HIH393331:HIL393331 HSD393331:HSH393331 IBZ393331:ICD393331 ILV393331:ILZ393331 IVR393331:IVV393331 JFN393331:JFR393331 JPJ393331:JPN393331 JZF393331:JZJ393331 KJB393331:KJF393331 KSX393331:KTB393331 LCT393331:LCX393331 LMP393331:LMT393331 LWL393331:LWP393331 MGH393331:MGL393331 MQD393331:MQH393331 MZZ393331:NAD393331 NJV393331:NJZ393331 NTR393331:NTV393331 ODN393331:ODR393331 ONJ393331:ONN393331 OXF393331:OXJ393331 PHB393331:PHF393331 PQX393331:PRB393331 QAT393331:QAX393331 QKP393331:QKT393331 QUL393331:QUP393331 REH393331:REL393331 ROD393331:ROH393331 RXZ393331:RYD393331 SHV393331:SHZ393331 SRR393331:SRV393331 TBN393331:TBR393331 TLJ393331:TLN393331 TVF393331:TVJ393331 UFB393331:UFF393331 UOX393331:UPB393331 UYT393331:UYX393331 VIP393331:VIT393331 VSL393331:VSP393331 WCH393331:WCL393331 WMD393331:WMH393331 WVZ393331:WWD393331 R458867:V458867 JN458867:JR458867 TJ458867:TN458867 ADF458867:ADJ458867 ANB458867:ANF458867 AWX458867:AXB458867 BGT458867:BGX458867 BQP458867:BQT458867 CAL458867:CAP458867 CKH458867:CKL458867 CUD458867:CUH458867 DDZ458867:DED458867 DNV458867:DNZ458867 DXR458867:DXV458867 EHN458867:EHR458867 ERJ458867:ERN458867 FBF458867:FBJ458867 FLB458867:FLF458867 FUX458867:FVB458867 GET458867:GEX458867 GOP458867:GOT458867 GYL458867:GYP458867 HIH458867:HIL458867 HSD458867:HSH458867 IBZ458867:ICD458867 ILV458867:ILZ458867 IVR458867:IVV458867 JFN458867:JFR458867 JPJ458867:JPN458867 JZF458867:JZJ458867 KJB458867:KJF458867 KSX458867:KTB458867 LCT458867:LCX458867 LMP458867:LMT458867 LWL458867:LWP458867 MGH458867:MGL458867 MQD458867:MQH458867 MZZ458867:NAD458867 NJV458867:NJZ458867 NTR458867:NTV458867 ODN458867:ODR458867 ONJ458867:ONN458867 OXF458867:OXJ458867 PHB458867:PHF458867 PQX458867:PRB458867 QAT458867:QAX458867 QKP458867:QKT458867 QUL458867:QUP458867 REH458867:REL458867 ROD458867:ROH458867 RXZ458867:RYD458867 SHV458867:SHZ458867 SRR458867:SRV458867 TBN458867:TBR458867 TLJ458867:TLN458867 TVF458867:TVJ458867 UFB458867:UFF458867 UOX458867:UPB458867 UYT458867:UYX458867 VIP458867:VIT458867 VSL458867:VSP458867 WCH458867:WCL458867 WMD458867:WMH458867 WVZ458867:WWD458867 R524403:V524403 JN524403:JR524403 TJ524403:TN524403 ADF524403:ADJ524403 ANB524403:ANF524403 AWX524403:AXB524403 BGT524403:BGX524403 BQP524403:BQT524403 CAL524403:CAP524403 CKH524403:CKL524403 CUD524403:CUH524403 DDZ524403:DED524403 DNV524403:DNZ524403 DXR524403:DXV524403 EHN524403:EHR524403 ERJ524403:ERN524403 FBF524403:FBJ524403 FLB524403:FLF524403 FUX524403:FVB524403 GET524403:GEX524403 GOP524403:GOT524403 GYL524403:GYP524403 HIH524403:HIL524403 HSD524403:HSH524403 IBZ524403:ICD524403 ILV524403:ILZ524403 IVR524403:IVV524403 JFN524403:JFR524403 JPJ524403:JPN524403 JZF524403:JZJ524403 KJB524403:KJF524403 KSX524403:KTB524403 LCT524403:LCX524403 LMP524403:LMT524403 LWL524403:LWP524403 MGH524403:MGL524403 MQD524403:MQH524403 MZZ524403:NAD524403 NJV524403:NJZ524403 NTR524403:NTV524403 ODN524403:ODR524403 ONJ524403:ONN524403 OXF524403:OXJ524403 PHB524403:PHF524403 PQX524403:PRB524403 QAT524403:QAX524403 QKP524403:QKT524403 QUL524403:QUP524403 REH524403:REL524403 ROD524403:ROH524403 RXZ524403:RYD524403 SHV524403:SHZ524403 SRR524403:SRV524403 TBN524403:TBR524403 TLJ524403:TLN524403 TVF524403:TVJ524403 UFB524403:UFF524403 UOX524403:UPB524403 UYT524403:UYX524403 VIP524403:VIT524403 VSL524403:VSP524403 WCH524403:WCL524403 WMD524403:WMH524403 WVZ524403:WWD524403 R589939:V589939 JN589939:JR589939 TJ589939:TN589939 ADF589939:ADJ589939 ANB589939:ANF589939 AWX589939:AXB589939 BGT589939:BGX589939 BQP589939:BQT589939 CAL589939:CAP589939 CKH589939:CKL589939 CUD589939:CUH589939 DDZ589939:DED589939 DNV589939:DNZ589939 DXR589939:DXV589939 EHN589939:EHR589939 ERJ589939:ERN589939 FBF589939:FBJ589939 FLB589939:FLF589939 FUX589939:FVB589939 GET589939:GEX589939 GOP589939:GOT589939 GYL589939:GYP589939 HIH589939:HIL589939 HSD589939:HSH589939 IBZ589939:ICD589939 ILV589939:ILZ589939 IVR589939:IVV589939 JFN589939:JFR589939 JPJ589939:JPN589939 JZF589939:JZJ589939 KJB589939:KJF589939 KSX589939:KTB589939 LCT589939:LCX589939 LMP589939:LMT589939 LWL589939:LWP589939 MGH589939:MGL589939 MQD589939:MQH589939 MZZ589939:NAD589939 NJV589939:NJZ589939 NTR589939:NTV589939 ODN589939:ODR589939 ONJ589939:ONN589939 OXF589939:OXJ589939 PHB589939:PHF589939 PQX589939:PRB589939 QAT589939:QAX589939 QKP589939:QKT589939 QUL589939:QUP589939 REH589939:REL589939 ROD589939:ROH589939 RXZ589939:RYD589939 SHV589939:SHZ589939 SRR589939:SRV589939 TBN589939:TBR589939 TLJ589939:TLN589939 TVF589939:TVJ589939 UFB589939:UFF589939 UOX589939:UPB589939 UYT589939:UYX589939 VIP589939:VIT589939 VSL589939:VSP589939 WCH589939:WCL589939 WMD589939:WMH589939 WVZ589939:WWD589939 R655475:V655475 JN655475:JR655475 TJ655475:TN655475 ADF655475:ADJ655475 ANB655475:ANF655475 AWX655475:AXB655475 BGT655475:BGX655475 BQP655475:BQT655475 CAL655475:CAP655475 CKH655475:CKL655475 CUD655475:CUH655475 DDZ655475:DED655475 DNV655475:DNZ655475 DXR655475:DXV655475 EHN655475:EHR655475 ERJ655475:ERN655475 FBF655475:FBJ655475 FLB655475:FLF655475 FUX655475:FVB655475 GET655475:GEX655475 GOP655475:GOT655475 GYL655475:GYP655475 HIH655475:HIL655475 HSD655475:HSH655475 IBZ655475:ICD655475 ILV655475:ILZ655475 IVR655475:IVV655475 JFN655475:JFR655475 JPJ655475:JPN655475 JZF655475:JZJ655475 KJB655475:KJF655475 KSX655475:KTB655475 LCT655475:LCX655475 LMP655475:LMT655475 LWL655475:LWP655475 MGH655475:MGL655475 MQD655475:MQH655475 MZZ655475:NAD655475 NJV655475:NJZ655475 NTR655475:NTV655475 ODN655475:ODR655475 ONJ655475:ONN655475 OXF655475:OXJ655475 PHB655475:PHF655475 PQX655475:PRB655475 QAT655475:QAX655475 QKP655475:QKT655475 QUL655475:QUP655475 REH655475:REL655475 ROD655475:ROH655475 RXZ655475:RYD655475 SHV655475:SHZ655475 SRR655475:SRV655475 TBN655475:TBR655475 TLJ655475:TLN655475 TVF655475:TVJ655475 UFB655475:UFF655475 UOX655475:UPB655475 UYT655475:UYX655475 VIP655475:VIT655475 VSL655475:VSP655475 WCH655475:WCL655475 WMD655475:WMH655475 WVZ655475:WWD655475 R721011:V721011 JN721011:JR721011 TJ721011:TN721011 ADF721011:ADJ721011 ANB721011:ANF721011 AWX721011:AXB721011 BGT721011:BGX721011 BQP721011:BQT721011 CAL721011:CAP721011 CKH721011:CKL721011 CUD721011:CUH721011 DDZ721011:DED721011 DNV721011:DNZ721011 DXR721011:DXV721011 EHN721011:EHR721011 ERJ721011:ERN721011 FBF721011:FBJ721011 FLB721011:FLF721011 FUX721011:FVB721011 GET721011:GEX721011 GOP721011:GOT721011 GYL721011:GYP721011 HIH721011:HIL721011 HSD721011:HSH721011 IBZ721011:ICD721011 ILV721011:ILZ721011 IVR721011:IVV721011 JFN721011:JFR721011 JPJ721011:JPN721011 JZF721011:JZJ721011 KJB721011:KJF721011 KSX721011:KTB721011 LCT721011:LCX721011 LMP721011:LMT721011 LWL721011:LWP721011 MGH721011:MGL721011 MQD721011:MQH721011 MZZ721011:NAD721011 NJV721011:NJZ721011 NTR721011:NTV721011 ODN721011:ODR721011 ONJ721011:ONN721011 OXF721011:OXJ721011 PHB721011:PHF721011 PQX721011:PRB721011 QAT721011:QAX721011 QKP721011:QKT721011 QUL721011:QUP721011 REH721011:REL721011 ROD721011:ROH721011 RXZ721011:RYD721011 SHV721011:SHZ721011 SRR721011:SRV721011 TBN721011:TBR721011 TLJ721011:TLN721011 TVF721011:TVJ721011 UFB721011:UFF721011 UOX721011:UPB721011 UYT721011:UYX721011 VIP721011:VIT721011 VSL721011:VSP721011 WCH721011:WCL721011 WMD721011:WMH721011 WVZ721011:WWD721011 R786547:V786547 JN786547:JR786547 TJ786547:TN786547 ADF786547:ADJ786547 ANB786547:ANF786547 AWX786547:AXB786547 BGT786547:BGX786547 BQP786547:BQT786547 CAL786547:CAP786547 CKH786547:CKL786547 CUD786547:CUH786547 DDZ786547:DED786547 DNV786547:DNZ786547 DXR786547:DXV786547 EHN786547:EHR786547 ERJ786547:ERN786547 FBF786547:FBJ786547 FLB786547:FLF786547 FUX786547:FVB786547 GET786547:GEX786547 GOP786547:GOT786547 GYL786547:GYP786547 HIH786547:HIL786547 HSD786547:HSH786547 IBZ786547:ICD786547 ILV786547:ILZ786547 IVR786547:IVV786547 JFN786547:JFR786547 JPJ786547:JPN786547 JZF786547:JZJ786547 KJB786547:KJF786547 KSX786547:KTB786547 LCT786547:LCX786547 LMP786547:LMT786547 LWL786547:LWP786547 MGH786547:MGL786547 MQD786547:MQH786547 MZZ786547:NAD786547 NJV786547:NJZ786547 NTR786547:NTV786547 ODN786547:ODR786547 ONJ786547:ONN786547 OXF786547:OXJ786547 PHB786547:PHF786547 PQX786547:PRB786547 QAT786547:QAX786547 QKP786547:QKT786547 QUL786547:QUP786547 REH786547:REL786547 ROD786547:ROH786547 RXZ786547:RYD786547 SHV786547:SHZ786547 SRR786547:SRV786547 TBN786547:TBR786547 TLJ786547:TLN786547 TVF786547:TVJ786547 UFB786547:UFF786547 UOX786547:UPB786547 UYT786547:UYX786547 VIP786547:VIT786547 VSL786547:VSP786547 WCH786547:WCL786547 WMD786547:WMH786547 WVZ786547:WWD786547 R852083:V852083 JN852083:JR852083 TJ852083:TN852083 ADF852083:ADJ852083 ANB852083:ANF852083 AWX852083:AXB852083 BGT852083:BGX852083 BQP852083:BQT852083 CAL852083:CAP852083 CKH852083:CKL852083 CUD852083:CUH852083 DDZ852083:DED852083 DNV852083:DNZ852083 DXR852083:DXV852083 EHN852083:EHR852083 ERJ852083:ERN852083 FBF852083:FBJ852083 FLB852083:FLF852083 FUX852083:FVB852083 GET852083:GEX852083 GOP852083:GOT852083 GYL852083:GYP852083 HIH852083:HIL852083 HSD852083:HSH852083 IBZ852083:ICD852083 ILV852083:ILZ852083 IVR852083:IVV852083 JFN852083:JFR852083 JPJ852083:JPN852083 JZF852083:JZJ852083 KJB852083:KJF852083 KSX852083:KTB852083 LCT852083:LCX852083 LMP852083:LMT852083 LWL852083:LWP852083 MGH852083:MGL852083 MQD852083:MQH852083 MZZ852083:NAD852083 NJV852083:NJZ852083 NTR852083:NTV852083 ODN852083:ODR852083 ONJ852083:ONN852083 OXF852083:OXJ852083 PHB852083:PHF852083 PQX852083:PRB852083 QAT852083:QAX852083 QKP852083:QKT852083 QUL852083:QUP852083 REH852083:REL852083 ROD852083:ROH852083 RXZ852083:RYD852083 SHV852083:SHZ852083 SRR852083:SRV852083 TBN852083:TBR852083 TLJ852083:TLN852083 TVF852083:TVJ852083 UFB852083:UFF852083 UOX852083:UPB852083 UYT852083:UYX852083 VIP852083:VIT852083 VSL852083:VSP852083 WCH852083:WCL852083 WMD852083:WMH852083 WVZ852083:WWD852083 R917619:V917619 JN917619:JR917619 TJ917619:TN917619 ADF917619:ADJ917619 ANB917619:ANF917619 AWX917619:AXB917619 BGT917619:BGX917619 BQP917619:BQT917619 CAL917619:CAP917619 CKH917619:CKL917619 CUD917619:CUH917619 DDZ917619:DED917619 DNV917619:DNZ917619 DXR917619:DXV917619 EHN917619:EHR917619 ERJ917619:ERN917619 FBF917619:FBJ917619 FLB917619:FLF917619 FUX917619:FVB917619 GET917619:GEX917619 GOP917619:GOT917619 GYL917619:GYP917619 HIH917619:HIL917619 HSD917619:HSH917619 IBZ917619:ICD917619 ILV917619:ILZ917619 IVR917619:IVV917619 JFN917619:JFR917619 JPJ917619:JPN917619 JZF917619:JZJ917619 KJB917619:KJF917619 KSX917619:KTB917619 LCT917619:LCX917619 LMP917619:LMT917619 LWL917619:LWP917619 MGH917619:MGL917619 MQD917619:MQH917619 MZZ917619:NAD917619 NJV917619:NJZ917619 NTR917619:NTV917619 ODN917619:ODR917619 ONJ917619:ONN917619 OXF917619:OXJ917619 PHB917619:PHF917619 PQX917619:PRB917619 QAT917619:QAX917619 QKP917619:QKT917619 QUL917619:QUP917619 REH917619:REL917619 ROD917619:ROH917619 RXZ917619:RYD917619 SHV917619:SHZ917619 SRR917619:SRV917619 TBN917619:TBR917619 TLJ917619:TLN917619 TVF917619:TVJ917619 UFB917619:UFF917619 UOX917619:UPB917619 UYT917619:UYX917619 VIP917619:VIT917619 VSL917619:VSP917619 WCH917619:WCL917619 WMD917619:WMH917619 WVZ917619:WWD917619 R983155:V983155 JN983155:JR983155 TJ983155:TN983155 ADF983155:ADJ983155 ANB983155:ANF983155 AWX983155:AXB983155 BGT983155:BGX983155 BQP983155:BQT983155 CAL983155:CAP983155 CKH983155:CKL983155 CUD983155:CUH983155 DDZ983155:DED983155 DNV983155:DNZ983155 DXR983155:DXV983155 EHN983155:EHR983155 ERJ983155:ERN983155 FBF983155:FBJ983155 FLB983155:FLF983155 FUX983155:FVB983155 GET983155:GEX983155 GOP983155:GOT983155 GYL983155:GYP983155 HIH983155:HIL983155 HSD983155:HSH983155 IBZ983155:ICD983155 ILV983155:ILZ983155 IVR983155:IVV983155 JFN983155:JFR983155 JPJ983155:JPN983155 JZF983155:JZJ983155 KJB983155:KJF983155 KSX983155:KTB983155 LCT983155:LCX983155 LMP983155:LMT983155 LWL983155:LWP983155 MGH983155:MGL983155 MQD983155:MQH983155 MZZ983155:NAD983155 NJV983155:NJZ983155 NTR983155:NTV983155 ODN983155:ODR983155 ONJ983155:ONN983155 OXF983155:OXJ983155 PHB983155:PHF983155 PQX983155:PRB983155 QAT983155:QAX983155 QKP983155:QKT983155 QUL983155:QUP983155 REH983155:REL983155 ROD983155:ROH983155 RXZ983155:RYD983155 SHV983155:SHZ983155 SRR983155:SRV983155 TBN983155:TBR983155 TLJ983155:TLN983155 TVF983155:TVJ983155 UFB983155:UFF983155 UOX983155:UPB983155 UYT983155:UYX983155 VIP983155:VIT983155 VSL983155:VSP983155 WCH983155:WCL983155 WMD983155:WMH983155 WVZ983155:WWD983155 J132 JF132 TB132 ACX132 AMT132 AWP132 BGL132 BQH132 CAD132 CJZ132 CTV132 DDR132 DNN132 DXJ132 EHF132 ERB132 FAX132 FKT132 FUP132 GEL132 GOH132 GYD132 HHZ132 HRV132 IBR132 ILN132 IVJ132 JFF132 JPB132 JYX132 KIT132 KSP132 LCL132 LMH132 LWD132 MFZ132 MPV132 MZR132 NJN132 NTJ132 ODF132 ONB132 OWX132 PGT132 PQP132 QAL132 QKH132 QUD132 RDZ132 RNV132 RXR132 SHN132 SRJ132 TBF132 TLB132 TUX132 UET132 UOP132 UYL132 VIH132 VSD132 WBZ132 WLV132 WVR132 J65668 JF65668 TB65668 ACX65668 AMT65668 AWP65668 BGL65668 BQH65668 CAD65668 CJZ65668 CTV65668 DDR65668 DNN65668 DXJ65668 EHF65668 ERB65668 FAX65668 FKT65668 FUP65668 GEL65668 GOH65668 GYD65668 HHZ65668 HRV65668 IBR65668 ILN65668 IVJ65668 JFF65668 JPB65668 JYX65668 KIT65668 KSP65668 LCL65668 LMH65668 LWD65668 MFZ65668 MPV65668 MZR65668 NJN65668 NTJ65668 ODF65668 ONB65668 OWX65668 PGT65668 PQP65668 QAL65668 QKH65668 QUD65668 RDZ65668 RNV65668 RXR65668 SHN65668 SRJ65668 TBF65668 TLB65668 TUX65668 UET65668 UOP65668 UYL65668 VIH65668 VSD65668 WBZ65668 WLV65668 WVR65668 J131204 JF131204 TB131204 ACX131204 AMT131204 AWP131204 BGL131204 BQH131204 CAD131204 CJZ131204 CTV131204 DDR131204 DNN131204 DXJ131204 EHF131204 ERB131204 FAX131204 FKT131204 FUP131204 GEL131204 GOH131204 GYD131204 HHZ131204 HRV131204 IBR131204 ILN131204 IVJ131204 JFF131204 JPB131204 JYX131204 KIT131204 KSP131204 LCL131204 LMH131204 LWD131204 MFZ131204 MPV131204 MZR131204 NJN131204 NTJ131204 ODF131204 ONB131204 OWX131204 PGT131204 PQP131204 QAL131204 QKH131204 QUD131204 RDZ131204 RNV131204 RXR131204 SHN131204 SRJ131204 TBF131204 TLB131204 TUX131204 UET131204 UOP131204 UYL131204 VIH131204 VSD131204 WBZ131204 WLV131204 WVR131204 J196740 JF196740 TB196740 ACX196740 AMT196740 AWP196740 BGL196740 BQH196740 CAD196740 CJZ196740 CTV196740 DDR196740 DNN196740 DXJ196740 EHF196740 ERB196740 FAX196740 FKT196740 FUP196740 GEL196740 GOH196740 GYD196740 HHZ196740 HRV196740 IBR196740 ILN196740 IVJ196740 JFF196740 JPB196740 JYX196740 KIT196740 KSP196740 LCL196740 LMH196740 LWD196740 MFZ196740 MPV196740 MZR196740 NJN196740 NTJ196740 ODF196740 ONB196740 OWX196740 PGT196740 PQP196740 QAL196740 QKH196740 QUD196740 RDZ196740 RNV196740 RXR196740 SHN196740 SRJ196740 TBF196740 TLB196740 TUX196740 UET196740 UOP196740 UYL196740 VIH196740 VSD196740 WBZ196740 WLV196740 WVR196740 J262276 JF262276 TB262276 ACX262276 AMT262276 AWP262276 BGL262276 BQH262276 CAD262276 CJZ262276 CTV262276 DDR262276 DNN262276 DXJ262276 EHF262276 ERB262276 FAX262276 FKT262276 FUP262276 GEL262276 GOH262276 GYD262276 HHZ262276 HRV262276 IBR262276 ILN262276 IVJ262276 JFF262276 JPB262276 JYX262276 KIT262276 KSP262276 LCL262276 LMH262276 LWD262276 MFZ262276 MPV262276 MZR262276 NJN262276 NTJ262276 ODF262276 ONB262276 OWX262276 PGT262276 PQP262276 QAL262276 QKH262276 QUD262276 RDZ262276 RNV262276 RXR262276 SHN262276 SRJ262276 TBF262276 TLB262276 TUX262276 UET262276 UOP262276 UYL262276 VIH262276 VSD262276 WBZ262276 WLV262276 WVR262276 J327812 JF327812 TB327812 ACX327812 AMT327812 AWP327812 BGL327812 BQH327812 CAD327812 CJZ327812 CTV327812 DDR327812 DNN327812 DXJ327812 EHF327812 ERB327812 FAX327812 FKT327812 FUP327812 GEL327812 GOH327812 GYD327812 HHZ327812 HRV327812 IBR327812 ILN327812 IVJ327812 JFF327812 JPB327812 JYX327812 KIT327812 KSP327812 LCL327812 LMH327812 LWD327812 MFZ327812 MPV327812 MZR327812 NJN327812 NTJ327812 ODF327812 ONB327812 OWX327812 PGT327812 PQP327812 QAL327812 QKH327812 QUD327812 RDZ327812 RNV327812 RXR327812 SHN327812 SRJ327812 TBF327812 TLB327812 TUX327812 UET327812 UOP327812 UYL327812 VIH327812 VSD327812 WBZ327812 WLV327812 WVR327812 J393348 JF393348 TB393348 ACX393348 AMT393348 AWP393348 BGL393348 BQH393348 CAD393348 CJZ393348 CTV393348 DDR393348 DNN393348 DXJ393348 EHF393348 ERB393348 FAX393348 FKT393348 FUP393348 GEL393348 GOH393348 GYD393348 HHZ393348 HRV393348 IBR393348 ILN393348 IVJ393348 JFF393348 JPB393348 JYX393348 KIT393348 KSP393348 LCL393348 LMH393348 LWD393348 MFZ393348 MPV393348 MZR393348 NJN393348 NTJ393348 ODF393348 ONB393348 OWX393348 PGT393348 PQP393348 QAL393348 QKH393348 QUD393348 RDZ393348 RNV393348 RXR393348 SHN393348 SRJ393348 TBF393348 TLB393348 TUX393348 UET393348 UOP393348 UYL393348 VIH393348 VSD393348 WBZ393348 WLV393348 WVR393348 J458884 JF458884 TB458884 ACX458884 AMT458884 AWP458884 BGL458884 BQH458884 CAD458884 CJZ458884 CTV458884 DDR458884 DNN458884 DXJ458884 EHF458884 ERB458884 FAX458884 FKT458884 FUP458884 GEL458884 GOH458884 GYD458884 HHZ458884 HRV458884 IBR458884 ILN458884 IVJ458884 JFF458884 JPB458884 JYX458884 KIT458884 KSP458884 LCL458884 LMH458884 LWD458884 MFZ458884 MPV458884 MZR458884 NJN458884 NTJ458884 ODF458884 ONB458884 OWX458884 PGT458884 PQP458884 QAL458884 QKH458884 QUD458884 RDZ458884 RNV458884 RXR458884 SHN458884 SRJ458884 TBF458884 TLB458884 TUX458884 UET458884 UOP458884 UYL458884 VIH458884 VSD458884 WBZ458884 WLV458884 WVR458884 J524420 JF524420 TB524420 ACX524420 AMT524420 AWP524420 BGL524420 BQH524420 CAD524420 CJZ524420 CTV524420 DDR524420 DNN524420 DXJ524420 EHF524420 ERB524420 FAX524420 FKT524420 FUP524420 GEL524420 GOH524420 GYD524420 HHZ524420 HRV524420 IBR524420 ILN524420 IVJ524420 JFF524420 JPB524420 JYX524420 KIT524420 KSP524420 LCL524420 LMH524420 LWD524420 MFZ524420 MPV524420 MZR524420 NJN524420 NTJ524420 ODF524420 ONB524420 OWX524420 PGT524420 PQP524420 QAL524420 QKH524420 QUD524420 RDZ524420 RNV524420 RXR524420 SHN524420 SRJ524420 TBF524420 TLB524420 TUX524420 UET524420 UOP524420 UYL524420 VIH524420 VSD524420 WBZ524420 WLV524420 WVR524420 J589956 JF589956 TB589956 ACX589956 AMT589956 AWP589956 BGL589956 BQH589956 CAD589956 CJZ589956 CTV589956 DDR589956 DNN589956 DXJ589956 EHF589956 ERB589956 FAX589956 FKT589956 FUP589956 GEL589956 GOH589956 GYD589956 HHZ589956 HRV589956 IBR589956 ILN589956 IVJ589956 JFF589956 JPB589956 JYX589956 KIT589956 KSP589956 LCL589956 LMH589956 LWD589956 MFZ589956 MPV589956 MZR589956 NJN589956 NTJ589956 ODF589956 ONB589956 OWX589956 PGT589956 PQP589956 QAL589956 QKH589956 QUD589956 RDZ589956 RNV589956 RXR589956 SHN589956 SRJ589956 TBF589956 TLB589956 TUX589956 UET589956 UOP589956 UYL589956 VIH589956 VSD589956 WBZ589956 WLV589956 WVR589956 J655492 JF655492 TB655492 ACX655492 AMT655492 AWP655492 BGL655492 BQH655492 CAD655492 CJZ655492 CTV655492 DDR655492 DNN655492 DXJ655492 EHF655492 ERB655492 FAX655492 FKT655492 FUP655492 GEL655492 GOH655492 GYD655492 HHZ655492 HRV655492 IBR655492 ILN655492 IVJ655492 JFF655492 JPB655492 JYX655492 KIT655492 KSP655492 LCL655492 LMH655492 LWD655492 MFZ655492 MPV655492 MZR655492 NJN655492 NTJ655492 ODF655492 ONB655492 OWX655492 PGT655492 PQP655492 QAL655492 QKH655492 QUD655492 RDZ655492 RNV655492 RXR655492 SHN655492 SRJ655492 TBF655492 TLB655492 TUX655492 UET655492 UOP655492 UYL655492 VIH655492 VSD655492 WBZ655492 WLV655492 WVR655492 J721028 JF721028 TB721028 ACX721028 AMT721028 AWP721028 BGL721028 BQH721028 CAD721028 CJZ721028 CTV721028 DDR721028 DNN721028 DXJ721028 EHF721028 ERB721028 FAX721028 FKT721028 FUP721028 GEL721028 GOH721028 GYD721028 HHZ721028 HRV721028 IBR721028 ILN721028 IVJ721028 JFF721028 JPB721028 JYX721028 KIT721028 KSP721028 LCL721028 LMH721028 LWD721028 MFZ721028 MPV721028 MZR721028 NJN721028 NTJ721028 ODF721028 ONB721028 OWX721028 PGT721028 PQP721028 QAL721028 QKH721028 QUD721028 RDZ721028 RNV721028 RXR721028 SHN721028 SRJ721028 TBF721028 TLB721028 TUX721028 UET721028 UOP721028 UYL721028 VIH721028 VSD721028 WBZ721028 WLV721028 WVR721028 J786564 JF786564 TB786564 ACX786564 AMT786564 AWP786564 BGL786564 BQH786564 CAD786564 CJZ786564 CTV786564 DDR786564 DNN786564 DXJ786564 EHF786564 ERB786564 FAX786564 FKT786564 FUP786564 GEL786564 GOH786564 GYD786564 HHZ786564 HRV786564 IBR786564 ILN786564 IVJ786564 JFF786564 JPB786564 JYX786564 KIT786564 KSP786564 LCL786564 LMH786564 LWD786564 MFZ786564 MPV786564 MZR786564 NJN786564 NTJ786564 ODF786564 ONB786564 OWX786564 PGT786564 PQP786564 QAL786564 QKH786564 QUD786564 RDZ786564 RNV786564 RXR786564 SHN786564 SRJ786564 TBF786564 TLB786564 TUX786564 UET786564 UOP786564 UYL786564 VIH786564 VSD786564 WBZ786564 WLV786564 WVR786564 J852100 JF852100 TB852100 ACX852100 AMT852100 AWP852100 BGL852100 BQH852100 CAD852100 CJZ852100 CTV852100 DDR852100 DNN852100 DXJ852100 EHF852100 ERB852100 FAX852100 FKT852100 FUP852100 GEL852100 GOH852100 GYD852100 HHZ852100 HRV852100 IBR852100 ILN852100 IVJ852100 JFF852100 JPB852100 JYX852100 KIT852100 KSP852100 LCL852100 LMH852100 LWD852100 MFZ852100 MPV852100 MZR852100 NJN852100 NTJ852100 ODF852100 ONB852100 OWX852100 PGT852100 PQP852100 QAL852100 QKH852100 QUD852100 RDZ852100 RNV852100 RXR852100 SHN852100 SRJ852100 TBF852100 TLB852100 TUX852100 UET852100 UOP852100 UYL852100 VIH852100 VSD852100 WBZ852100 WLV852100 WVR852100 J917636 JF917636 TB917636 ACX917636 AMT917636 AWP917636 BGL917636 BQH917636 CAD917636 CJZ917636 CTV917636 DDR917636 DNN917636 DXJ917636 EHF917636 ERB917636 FAX917636 FKT917636 FUP917636 GEL917636 GOH917636 GYD917636 HHZ917636 HRV917636 IBR917636 ILN917636 IVJ917636 JFF917636 JPB917636 JYX917636 KIT917636 KSP917636 LCL917636 LMH917636 LWD917636 MFZ917636 MPV917636 MZR917636 NJN917636 NTJ917636 ODF917636 ONB917636 OWX917636 PGT917636 PQP917636 QAL917636 QKH917636 QUD917636 RDZ917636 RNV917636 RXR917636 SHN917636 SRJ917636 TBF917636 TLB917636 TUX917636 UET917636 UOP917636 UYL917636 VIH917636 VSD917636 WBZ917636 WLV917636 WVR917636 J983172 JF983172 TB983172 ACX983172 AMT983172 AWP983172 BGL983172 BQH983172 CAD983172 CJZ983172 CTV983172 DDR983172 DNN983172 DXJ983172 EHF983172 ERB983172 FAX983172 FKT983172 FUP983172 GEL983172 GOH983172 GYD983172 HHZ983172 HRV983172 IBR983172 ILN983172 IVJ983172 JFF983172 JPB983172 JYX983172 KIT983172 KSP983172 LCL983172 LMH983172 LWD983172 MFZ983172 MPV983172 MZR983172 NJN983172 NTJ983172 ODF983172 ONB983172 OWX983172 PGT983172 PQP983172 QAL983172 QKH983172 QUD983172 RDZ983172 RNV983172 RXR983172 SHN983172 SRJ983172 TBF983172 TLB983172 TUX983172 UET983172 UOP983172 UYL983172 VIH983172 VSD983172 WBZ983172 WLV983172 WVR983172 G131:W131 JC131:JS131 SY131:TO131 ACU131:ADK131 AMQ131:ANG131 AWM131:AXC131 BGI131:BGY131 BQE131:BQU131 CAA131:CAQ131 CJW131:CKM131 CTS131:CUI131 DDO131:DEE131 DNK131:DOA131 DXG131:DXW131 EHC131:EHS131 EQY131:ERO131 FAU131:FBK131 FKQ131:FLG131 FUM131:FVC131 GEI131:GEY131 GOE131:GOU131 GYA131:GYQ131 HHW131:HIM131 HRS131:HSI131 IBO131:ICE131 ILK131:IMA131 IVG131:IVW131 JFC131:JFS131 JOY131:JPO131 JYU131:JZK131 KIQ131:KJG131 KSM131:KTC131 LCI131:LCY131 LME131:LMU131 LWA131:LWQ131 MFW131:MGM131 MPS131:MQI131 MZO131:NAE131 NJK131:NKA131 NTG131:NTW131 ODC131:ODS131 OMY131:ONO131 OWU131:OXK131 PGQ131:PHG131 PQM131:PRC131 QAI131:QAY131 QKE131:QKU131 QUA131:QUQ131 RDW131:REM131 RNS131:ROI131 RXO131:RYE131 SHK131:SIA131 SRG131:SRW131 TBC131:TBS131 TKY131:TLO131 TUU131:TVK131 UEQ131:UFG131 UOM131:UPC131 UYI131:UYY131 VIE131:VIU131 VSA131:VSQ131 WBW131:WCM131 WLS131:WMI131 WVO131:WWE131 G65667:W65667 JC65667:JS65667 SY65667:TO65667 ACU65667:ADK65667 AMQ65667:ANG65667 AWM65667:AXC65667 BGI65667:BGY65667 BQE65667:BQU65667 CAA65667:CAQ65667 CJW65667:CKM65667 CTS65667:CUI65667 DDO65667:DEE65667 DNK65667:DOA65667 DXG65667:DXW65667 EHC65667:EHS65667 EQY65667:ERO65667 FAU65667:FBK65667 FKQ65667:FLG65667 FUM65667:FVC65667 GEI65667:GEY65667 GOE65667:GOU65667 GYA65667:GYQ65667 HHW65667:HIM65667 HRS65667:HSI65667 IBO65667:ICE65667 ILK65667:IMA65667 IVG65667:IVW65667 JFC65667:JFS65667 JOY65667:JPO65667 JYU65667:JZK65667 KIQ65667:KJG65667 KSM65667:KTC65667 LCI65667:LCY65667 LME65667:LMU65667 LWA65667:LWQ65667 MFW65667:MGM65667 MPS65667:MQI65667 MZO65667:NAE65667 NJK65667:NKA65667 NTG65667:NTW65667 ODC65667:ODS65667 OMY65667:ONO65667 OWU65667:OXK65667 PGQ65667:PHG65667 PQM65667:PRC65667 QAI65667:QAY65667 QKE65667:QKU65667 QUA65667:QUQ65667 RDW65667:REM65667 RNS65667:ROI65667 RXO65667:RYE65667 SHK65667:SIA65667 SRG65667:SRW65667 TBC65667:TBS65667 TKY65667:TLO65667 TUU65667:TVK65667 UEQ65667:UFG65667 UOM65667:UPC65667 UYI65667:UYY65667 VIE65667:VIU65667 VSA65667:VSQ65667 WBW65667:WCM65667 WLS65667:WMI65667 WVO65667:WWE65667 G131203:W131203 JC131203:JS131203 SY131203:TO131203 ACU131203:ADK131203 AMQ131203:ANG131203 AWM131203:AXC131203 BGI131203:BGY131203 BQE131203:BQU131203 CAA131203:CAQ131203 CJW131203:CKM131203 CTS131203:CUI131203 DDO131203:DEE131203 DNK131203:DOA131203 DXG131203:DXW131203 EHC131203:EHS131203 EQY131203:ERO131203 FAU131203:FBK131203 FKQ131203:FLG131203 FUM131203:FVC131203 GEI131203:GEY131203 GOE131203:GOU131203 GYA131203:GYQ131203 HHW131203:HIM131203 HRS131203:HSI131203 IBO131203:ICE131203 ILK131203:IMA131203 IVG131203:IVW131203 JFC131203:JFS131203 JOY131203:JPO131203 JYU131203:JZK131203 KIQ131203:KJG131203 KSM131203:KTC131203 LCI131203:LCY131203 LME131203:LMU131203 LWA131203:LWQ131203 MFW131203:MGM131203 MPS131203:MQI131203 MZO131203:NAE131203 NJK131203:NKA131203 NTG131203:NTW131203 ODC131203:ODS131203 OMY131203:ONO131203 OWU131203:OXK131203 PGQ131203:PHG131203 PQM131203:PRC131203 QAI131203:QAY131203 QKE131203:QKU131203 QUA131203:QUQ131203 RDW131203:REM131203 RNS131203:ROI131203 RXO131203:RYE131203 SHK131203:SIA131203 SRG131203:SRW131203 TBC131203:TBS131203 TKY131203:TLO131203 TUU131203:TVK131203 UEQ131203:UFG131203 UOM131203:UPC131203 UYI131203:UYY131203 VIE131203:VIU131203 VSA131203:VSQ131203 WBW131203:WCM131203 WLS131203:WMI131203 WVO131203:WWE131203 G196739:W196739 JC196739:JS196739 SY196739:TO196739 ACU196739:ADK196739 AMQ196739:ANG196739 AWM196739:AXC196739 BGI196739:BGY196739 BQE196739:BQU196739 CAA196739:CAQ196739 CJW196739:CKM196739 CTS196739:CUI196739 DDO196739:DEE196739 DNK196739:DOA196739 DXG196739:DXW196739 EHC196739:EHS196739 EQY196739:ERO196739 FAU196739:FBK196739 FKQ196739:FLG196739 FUM196739:FVC196739 GEI196739:GEY196739 GOE196739:GOU196739 GYA196739:GYQ196739 HHW196739:HIM196739 HRS196739:HSI196739 IBO196739:ICE196739 ILK196739:IMA196739 IVG196739:IVW196739 JFC196739:JFS196739 JOY196739:JPO196739 JYU196739:JZK196739 KIQ196739:KJG196739 KSM196739:KTC196739 LCI196739:LCY196739 LME196739:LMU196739 LWA196739:LWQ196739 MFW196739:MGM196739 MPS196739:MQI196739 MZO196739:NAE196739 NJK196739:NKA196739 NTG196739:NTW196739 ODC196739:ODS196739 OMY196739:ONO196739 OWU196739:OXK196739 PGQ196739:PHG196739 PQM196739:PRC196739 QAI196739:QAY196739 QKE196739:QKU196739 QUA196739:QUQ196739 RDW196739:REM196739 RNS196739:ROI196739 RXO196739:RYE196739 SHK196739:SIA196739 SRG196739:SRW196739 TBC196739:TBS196739 TKY196739:TLO196739 TUU196739:TVK196739 UEQ196739:UFG196739 UOM196739:UPC196739 UYI196739:UYY196739 VIE196739:VIU196739 VSA196739:VSQ196739 WBW196739:WCM196739 WLS196739:WMI196739 WVO196739:WWE196739 G262275:W262275 JC262275:JS262275 SY262275:TO262275 ACU262275:ADK262275 AMQ262275:ANG262275 AWM262275:AXC262275 BGI262275:BGY262275 BQE262275:BQU262275 CAA262275:CAQ262275 CJW262275:CKM262275 CTS262275:CUI262275 DDO262275:DEE262275 DNK262275:DOA262275 DXG262275:DXW262275 EHC262275:EHS262275 EQY262275:ERO262275 FAU262275:FBK262275 FKQ262275:FLG262275 FUM262275:FVC262275 GEI262275:GEY262275 GOE262275:GOU262275 GYA262275:GYQ262275 HHW262275:HIM262275 HRS262275:HSI262275 IBO262275:ICE262275 ILK262275:IMA262275 IVG262275:IVW262275 JFC262275:JFS262275 JOY262275:JPO262275 JYU262275:JZK262275 KIQ262275:KJG262275 KSM262275:KTC262275 LCI262275:LCY262275 LME262275:LMU262275 LWA262275:LWQ262275 MFW262275:MGM262275 MPS262275:MQI262275 MZO262275:NAE262275 NJK262275:NKA262275 NTG262275:NTW262275 ODC262275:ODS262275 OMY262275:ONO262275 OWU262275:OXK262275 PGQ262275:PHG262275 PQM262275:PRC262275 QAI262275:QAY262275 QKE262275:QKU262275 QUA262275:QUQ262275 RDW262275:REM262275 RNS262275:ROI262275 RXO262275:RYE262275 SHK262275:SIA262275 SRG262275:SRW262275 TBC262275:TBS262275 TKY262275:TLO262275 TUU262275:TVK262275 UEQ262275:UFG262275 UOM262275:UPC262275 UYI262275:UYY262275 VIE262275:VIU262275 VSA262275:VSQ262275 WBW262275:WCM262275 WLS262275:WMI262275 WVO262275:WWE262275 G327811:W327811 JC327811:JS327811 SY327811:TO327811 ACU327811:ADK327811 AMQ327811:ANG327811 AWM327811:AXC327811 BGI327811:BGY327811 BQE327811:BQU327811 CAA327811:CAQ327811 CJW327811:CKM327811 CTS327811:CUI327811 DDO327811:DEE327811 DNK327811:DOA327811 DXG327811:DXW327811 EHC327811:EHS327811 EQY327811:ERO327811 FAU327811:FBK327811 FKQ327811:FLG327811 FUM327811:FVC327811 GEI327811:GEY327811 GOE327811:GOU327811 GYA327811:GYQ327811 HHW327811:HIM327811 HRS327811:HSI327811 IBO327811:ICE327811 ILK327811:IMA327811 IVG327811:IVW327811 JFC327811:JFS327811 JOY327811:JPO327811 JYU327811:JZK327811 KIQ327811:KJG327811 KSM327811:KTC327811 LCI327811:LCY327811 LME327811:LMU327811 LWA327811:LWQ327811 MFW327811:MGM327811 MPS327811:MQI327811 MZO327811:NAE327811 NJK327811:NKA327811 NTG327811:NTW327811 ODC327811:ODS327811 OMY327811:ONO327811 OWU327811:OXK327811 PGQ327811:PHG327811 PQM327811:PRC327811 QAI327811:QAY327811 QKE327811:QKU327811 QUA327811:QUQ327811 RDW327811:REM327811 RNS327811:ROI327811 RXO327811:RYE327811 SHK327811:SIA327811 SRG327811:SRW327811 TBC327811:TBS327811 TKY327811:TLO327811 TUU327811:TVK327811 UEQ327811:UFG327811 UOM327811:UPC327811 UYI327811:UYY327811 VIE327811:VIU327811 VSA327811:VSQ327811 WBW327811:WCM327811 WLS327811:WMI327811 WVO327811:WWE327811 G393347:W393347 JC393347:JS393347 SY393347:TO393347 ACU393347:ADK393347 AMQ393347:ANG393347 AWM393347:AXC393347 BGI393347:BGY393347 BQE393347:BQU393347 CAA393347:CAQ393347 CJW393347:CKM393347 CTS393347:CUI393347 DDO393347:DEE393347 DNK393347:DOA393347 DXG393347:DXW393347 EHC393347:EHS393347 EQY393347:ERO393347 FAU393347:FBK393347 FKQ393347:FLG393347 FUM393347:FVC393347 GEI393347:GEY393347 GOE393347:GOU393347 GYA393347:GYQ393347 HHW393347:HIM393347 HRS393347:HSI393347 IBO393347:ICE393347 ILK393347:IMA393347 IVG393347:IVW393347 JFC393347:JFS393347 JOY393347:JPO393347 JYU393347:JZK393347 KIQ393347:KJG393347 KSM393347:KTC393347 LCI393347:LCY393347 LME393347:LMU393347 LWA393347:LWQ393347 MFW393347:MGM393347 MPS393347:MQI393347 MZO393347:NAE393347 NJK393347:NKA393347 NTG393347:NTW393347 ODC393347:ODS393347 OMY393347:ONO393347 OWU393347:OXK393347 PGQ393347:PHG393347 PQM393347:PRC393347 QAI393347:QAY393347 QKE393347:QKU393347 QUA393347:QUQ393347 RDW393347:REM393347 RNS393347:ROI393347 RXO393347:RYE393347 SHK393347:SIA393347 SRG393347:SRW393347 TBC393347:TBS393347 TKY393347:TLO393347 TUU393347:TVK393347 UEQ393347:UFG393347 UOM393347:UPC393347 UYI393347:UYY393347 VIE393347:VIU393347 VSA393347:VSQ393347 WBW393347:WCM393347 WLS393347:WMI393347 WVO393347:WWE393347 G458883:W458883 JC458883:JS458883 SY458883:TO458883 ACU458883:ADK458883 AMQ458883:ANG458883 AWM458883:AXC458883 BGI458883:BGY458883 BQE458883:BQU458883 CAA458883:CAQ458883 CJW458883:CKM458883 CTS458883:CUI458883 DDO458883:DEE458883 DNK458883:DOA458883 DXG458883:DXW458883 EHC458883:EHS458883 EQY458883:ERO458883 FAU458883:FBK458883 FKQ458883:FLG458883 FUM458883:FVC458883 GEI458883:GEY458883 GOE458883:GOU458883 GYA458883:GYQ458883 HHW458883:HIM458883 HRS458883:HSI458883 IBO458883:ICE458883 ILK458883:IMA458883 IVG458883:IVW458883 JFC458883:JFS458883 JOY458883:JPO458883 JYU458883:JZK458883 KIQ458883:KJG458883 KSM458883:KTC458883 LCI458883:LCY458883 LME458883:LMU458883 LWA458883:LWQ458883 MFW458883:MGM458883 MPS458883:MQI458883 MZO458883:NAE458883 NJK458883:NKA458883 NTG458883:NTW458883 ODC458883:ODS458883 OMY458883:ONO458883 OWU458883:OXK458883 PGQ458883:PHG458883 PQM458883:PRC458883 QAI458883:QAY458883 QKE458883:QKU458883 QUA458883:QUQ458883 RDW458883:REM458883 RNS458883:ROI458883 RXO458883:RYE458883 SHK458883:SIA458883 SRG458883:SRW458883 TBC458883:TBS458883 TKY458883:TLO458883 TUU458883:TVK458883 UEQ458883:UFG458883 UOM458883:UPC458883 UYI458883:UYY458883 VIE458883:VIU458883 VSA458883:VSQ458883 WBW458883:WCM458883 WLS458883:WMI458883 WVO458883:WWE458883 G524419:W524419 JC524419:JS524419 SY524419:TO524419 ACU524419:ADK524419 AMQ524419:ANG524419 AWM524419:AXC524419 BGI524419:BGY524419 BQE524419:BQU524419 CAA524419:CAQ524419 CJW524419:CKM524419 CTS524419:CUI524419 DDO524419:DEE524419 DNK524419:DOA524419 DXG524419:DXW524419 EHC524419:EHS524419 EQY524419:ERO524419 FAU524419:FBK524419 FKQ524419:FLG524419 FUM524419:FVC524419 GEI524419:GEY524419 GOE524419:GOU524419 GYA524419:GYQ524419 HHW524419:HIM524419 HRS524419:HSI524419 IBO524419:ICE524419 ILK524419:IMA524419 IVG524419:IVW524419 JFC524419:JFS524419 JOY524419:JPO524419 JYU524419:JZK524419 KIQ524419:KJG524419 KSM524419:KTC524419 LCI524419:LCY524419 LME524419:LMU524419 LWA524419:LWQ524419 MFW524419:MGM524419 MPS524419:MQI524419 MZO524419:NAE524419 NJK524419:NKA524419 NTG524419:NTW524419 ODC524419:ODS524419 OMY524419:ONO524419 OWU524419:OXK524419 PGQ524419:PHG524419 PQM524419:PRC524419 QAI524419:QAY524419 QKE524419:QKU524419 QUA524419:QUQ524419 RDW524419:REM524419 RNS524419:ROI524419 RXO524419:RYE524419 SHK524419:SIA524419 SRG524419:SRW524419 TBC524419:TBS524419 TKY524419:TLO524419 TUU524419:TVK524419 UEQ524419:UFG524419 UOM524419:UPC524419 UYI524419:UYY524419 VIE524419:VIU524419 VSA524419:VSQ524419 WBW524419:WCM524419 WLS524419:WMI524419 WVO524419:WWE524419 G589955:W589955 JC589955:JS589955 SY589955:TO589955 ACU589955:ADK589955 AMQ589955:ANG589955 AWM589955:AXC589955 BGI589955:BGY589955 BQE589955:BQU589955 CAA589955:CAQ589955 CJW589955:CKM589955 CTS589955:CUI589955 DDO589955:DEE589955 DNK589955:DOA589955 DXG589955:DXW589955 EHC589955:EHS589955 EQY589955:ERO589955 FAU589955:FBK589955 FKQ589955:FLG589955 FUM589955:FVC589955 GEI589955:GEY589955 GOE589955:GOU589955 GYA589955:GYQ589955 HHW589955:HIM589955 HRS589955:HSI589955 IBO589955:ICE589955 ILK589955:IMA589955 IVG589955:IVW589955 JFC589955:JFS589955 JOY589955:JPO589955 JYU589955:JZK589955 KIQ589955:KJG589955 KSM589955:KTC589955 LCI589955:LCY589955 LME589955:LMU589955 LWA589955:LWQ589955 MFW589955:MGM589955 MPS589955:MQI589955 MZO589955:NAE589955 NJK589955:NKA589955 NTG589955:NTW589955 ODC589955:ODS589955 OMY589955:ONO589955 OWU589955:OXK589955 PGQ589955:PHG589955 PQM589955:PRC589955 QAI589955:QAY589955 QKE589955:QKU589955 QUA589955:QUQ589955 RDW589955:REM589955 RNS589955:ROI589955 RXO589955:RYE589955 SHK589955:SIA589955 SRG589955:SRW589955 TBC589955:TBS589955 TKY589955:TLO589955 TUU589955:TVK589955 UEQ589955:UFG589955 UOM589955:UPC589955 UYI589955:UYY589955 VIE589955:VIU589955 VSA589955:VSQ589955 WBW589955:WCM589955 WLS589955:WMI589955 WVO589955:WWE589955 G655491:W655491 JC655491:JS655491 SY655491:TO655491 ACU655491:ADK655491 AMQ655491:ANG655491 AWM655491:AXC655491 BGI655491:BGY655491 BQE655491:BQU655491 CAA655491:CAQ655491 CJW655491:CKM655491 CTS655491:CUI655491 DDO655491:DEE655491 DNK655491:DOA655491 DXG655491:DXW655491 EHC655491:EHS655491 EQY655491:ERO655491 FAU655491:FBK655491 FKQ655491:FLG655491 FUM655491:FVC655491 GEI655491:GEY655491 GOE655491:GOU655491 GYA655491:GYQ655491 HHW655491:HIM655491 HRS655491:HSI655491 IBO655491:ICE655491 ILK655491:IMA655491 IVG655491:IVW655491 JFC655491:JFS655491 JOY655491:JPO655491 JYU655491:JZK655491 KIQ655491:KJG655491 KSM655491:KTC655491 LCI655491:LCY655491 LME655491:LMU655491 LWA655491:LWQ655491 MFW655491:MGM655491 MPS655491:MQI655491 MZO655491:NAE655491 NJK655491:NKA655491 NTG655491:NTW655491 ODC655491:ODS655491 OMY655491:ONO655491 OWU655491:OXK655491 PGQ655491:PHG655491 PQM655491:PRC655491 QAI655491:QAY655491 QKE655491:QKU655491 QUA655491:QUQ655491 RDW655491:REM655491 RNS655491:ROI655491 RXO655491:RYE655491 SHK655491:SIA655491 SRG655491:SRW655491 TBC655491:TBS655491 TKY655491:TLO655491 TUU655491:TVK655491 UEQ655491:UFG655491 UOM655491:UPC655491 UYI655491:UYY655491 VIE655491:VIU655491 VSA655491:VSQ655491 WBW655491:WCM655491 WLS655491:WMI655491 WVO655491:WWE655491 G721027:W721027 JC721027:JS721027 SY721027:TO721027 ACU721027:ADK721027 AMQ721027:ANG721027 AWM721027:AXC721027 BGI721027:BGY721027 BQE721027:BQU721027 CAA721027:CAQ721027 CJW721027:CKM721027 CTS721027:CUI721027 DDO721027:DEE721027 DNK721027:DOA721027 DXG721027:DXW721027 EHC721027:EHS721027 EQY721027:ERO721027 FAU721027:FBK721027 FKQ721027:FLG721027 FUM721027:FVC721027 GEI721027:GEY721027 GOE721027:GOU721027 GYA721027:GYQ721027 HHW721027:HIM721027 HRS721027:HSI721027 IBO721027:ICE721027 ILK721027:IMA721027 IVG721027:IVW721027 JFC721027:JFS721027 JOY721027:JPO721027 JYU721027:JZK721027 KIQ721027:KJG721027 KSM721027:KTC721027 LCI721027:LCY721027 LME721027:LMU721027 LWA721027:LWQ721027 MFW721027:MGM721027 MPS721027:MQI721027 MZO721027:NAE721027 NJK721027:NKA721027 NTG721027:NTW721027 ODC721027:ODS721027 OMY721027:ONO721027 OWU721027:OXK721027 PGQ721027:PHG721027 PQM721027:PRC721027 QAI721027:QAY721027 QKE721027:QKU721027 QUA721027:QUQ721027 RDW721027:REM721027 RNS721027:ROI721027 RXO721027:RYE721027 SHK721027:SIA721027 SRG721027:SRW721027 TBC721027:TBS721027 TKY721027:TLO721027 TUU721027:TVK721027 UEQ721027:UFG721027 UOM721027:UPC721027 UYI721027:UYY721027 VIE721027:VIU721027 VSA721027:VSQ721027 WBW721027:WCM721027 WLS721027:WMI721027 WVO721027:WWE721027 G786563:W786563 JC786563:JS786563 SY786563:TO786563 ACU786563:ADK786563 AMQ786563:ANG786563 AWM786563:AXC786563 BGI786563:BGY786563 BQE786563:BQU786563 CAA786563:CAQ786563 CJW786563:CKM786563 CTS786563:CUI786563 DDO786563:DEE786563 DNK786563:DOA786563 DXG786563:DXW786563 EHC786563:EHS786563 EQY786563:ERO786563 FAU786563:FBK786563 FKQ786563:FLG786563 FUM786563:FVC786563 GEI786563:GEY786563 GOE786563:GOU786563 GYA786563:GYQ786563 HHW786563:HIM786563 HRS786563:HSI786563 IBO786563:ICE786563 ILK786563:IMA786563 IVG786563:IVW786563 JFC786563:JFS786563 JOY786563:JPO786563 JYU786563:JZK786563 KIQ786563:KJG786563 KSM786563:KTC786563 LCI786563:LCY786563 LME786563:LMU786563 LWA786563:LWQ786563 MFW786563:MGM786563 MPS786563:MQI786563 MZO786563:NAE786563 NJK786563:NKA786563 NTG786563:NTW786563 ODC786563:ODS786563 OMY786563:ONO786563 OWU786563:OXK786563 PGQ786563:PHG786563 PQM786563:PRC786563 QAI786563:QAY786563 QKE786563:QKU786563 QUA786563:QUQ786563 RDW786563:REM786563 RNS786563:ROI786563 RXO786563:RYE786563 SHK786563:SIA786563 SRG786563:SRW786563 TBC786563:TBS786563 TKY786563:TLO786563 TUU786563:TVK786563 UEQ786563:UFG786563 UOM786563:UPC786563 UYI786563:UYY786563 VIE786563:VIU786563 VSA786563:VSQ786563 WBW786563:WCM786563 WLS786563:WMI786563 WVO786563:WWE786563 G852099:W852099 JC852099:JS852099 SY852099:TO852099 ACU852099:ADK852099 AMQ852099:ANG852099 AWM852099:AXC852099 BGI852099:BGY852099 BQE852099:BQU852099 CAA852099:CAQ852099 CJW852099:CKM852099 CTS852099:CUI852099 DDO852099:DEE852099 DNK852099:DOA852099 DXG852099:DXW852099 EHC852099:EHS852099 EQY852099:ERO852099 FAU852099:FBK852099 FKQ852099:FLG852099 FUM852099:FVC852099 GEI852099:GEY852099 GOE852099:GOU852099 GYA852099:GYQ852099 HHW852099:HIM852099 HRS852099:HSI852099 IBO852099:ICE852099 ILK852099:IMA852099 IVG852099:IVW852099 JFC852099:JFS852099 JOY852099:JPO852099 JYU852099:JZK852099 KIQ852099:KJG852099 KSM852099:KTC852099 LCI852099:LCY852099 LME852099:LMU852099 LWA852099:LWQ852099 MFW852099:MGM852099 MPS852099:MQI852099 MZO852099:NAE852099 NJK852099:NKA852099 NTG852099:NTW852099 ODC852099:ODS852099 OMY852099:ONO852099 OWU852099:OXK852099 PGQ852099:PHG852099 PQM852099:PRC852099 QAI852099:QAY852099 QKE852099:QKU852099 QUA852099:QUQ852099 RDW852099:REM852099 RNS852099:ROI852099 RXO852099:RYE852099 SHK852099:SIA852099 SRG852099:SRW852099 TBC852099:TBS852099 TKY852099:TLO852099 TUU852099:TVK852099 UEQ852099:UFG852099 UOM852099:UPC852099 UYI852099:UYY852099 VIE852099:VIU852099 VSA852099:VSQ852099 WBW852099:WCM852099 WLS852099:WMI852099 WVO852099:WWE852099 G917635:W917635 JC917635:JS917635 SY917635:TO917635 ACU917635:ADK917635 AMQ917635:ANG917635 AWM917635:AXC917635 BGI917635:BGY917635 BQE917635:BQU917635 CAA917635:CAQ917635 CJW917635:CKM917635 CTS917635:CUI917635 DDO917635:DEE917635 DNK917635:DOA917635 DXG917635:DXW917635 EHC917635:EHS917635 EQY917635:ERO917635 FAU917635:FBK917635 FKQ917635:FLG917635 FUM917635:FVC917635 GEI917635:GEY917635 GOE917635:GOU917635 GYA917635:GYQ917635 HHW917635:HIM917635 HRS917635:HSI917635 IBO917635:ICE917635 ILK917635:IMA917635 IVG917635:IVW917635 JFC917635:JFS917635 JOY917635:JPO917635 JYU917635:JZK917635 KIQ917635:KJG917635 KSM917635:KTC917635 LCI917635:LCY917635 LME917635:LMU917635 LWA917635:LWQ917635 MFW917635:MGM917635 MPS917635:MQI917635 MZO917635:NAE917635 NJK917635:NKA917635 NTG917635:NTW917635 ODC917635:ODS917635 OMY917635:ONO917635 OWU917635:OXK917635 PGQ917635:PHG917635 PQM917635:PRC917635 QAI917635:QAY917635 QKE917635:QKU917635 QUA917635:QUQ917635 RDW917635:REM917635 RNS917635:ROI917635 RXO917635:RYE917635 SHK917635:SIA917635 SRG917635:SRW917635 TBC917635:TBS917635 TKY917635:TLO917635 TUU917635:TVK917635 UEQ917635:UFG917635 UOM917635:UPC917635 UYI917635:UYY917635 VIE917635:VIU917635 VSA917635:VSQ917635 WBW917635:WCM917635 WLS917635:WMI917635 WVO917635:WWE917635 G983171:W983171 JC983171:JS983171 SY983171:TO983171 ACU983171:ADK983171 AMQ983171:ANG983171 AWM983171:AXC983171 BGI983171:BGY983171 BQE983171:BQU983171 CAA983171:CAQ983171 CJW983171:CKM983171 CTS983171:CUI983171 DDO983171:DEE983171 DNK983171:DOA983171 DXG983171:DXW983171 EHC983171:EHS983171 EQY983171:ERO983171 FAU983171:FBK983171 FKQ983171:FLG983171 FUM983171:FVC983171 GEI983171:GEY983171 GOE983171:GOU983171 GYA983171:GYQ983171 HHW983171:HIM983171 HRS983171:HSI983171 IBO983171:ICE983171 ILK983171:IMA983171 IVG983171:IVW983171 JFC983171:JFS983171 JOY983171:JPO983171 JYU983171:JZK983171 KIQ983171:KJG983171 KSM983171:KTC983171 LCI983171:LCY983171 LME983171:LMU983171 LWA983171:LWQ983171 MFW983171:MGM983171 MPS983171:MQI983171 MZO983171:NAE983171 NJK983171:NKA983171 NTG983171:NTW983171 ODC983171:ODS983171 OMY983171:ONO983171 OWU983171:OXK983171 PGQ983171:PHG983171 PQM983171:PRC983171 QAI983171:QAY983171 QKE983171:QKU983171 QUA983171:QUQ983171 RDW983171:REM983171 RNS983171:ROI983171 RXO983171:RYE983171 SHK983171:SIA983171 SRG983171:SRW983171 TBC983171:TBS983171 TKY983171:TLO983171 TUU983171:TVK983171 UEQ983171:UFG983171 UOM983171:UPC983171 UYI983171:UYY983171 VIE983171:VIU983171 VSA983171:VSQ983171 WBW983171:WCM983171 WLS983171:WMI983171 WVO983171:WWE983171 Q124:V124 JM124:JR124 TI124:TN124 ADE124:ADJ124 ANA124:ANF124 AWW124:AXB124 BGS124:BGX124 BQO124:BQT124 CAK124:CAP124 CKG124:CKL124 CUC124:CUH124 DDY124:DED124 DNU124:DNZ124 DXQ124:DXV124 EHM124:EHR124 ERI124:ERN124 FBE124:FBJ124 FLA124:FLF124 FUW124:FVB124 GES124:GEX124 GOO124:GOT124 GYK124:GYP124 HIG124:HIL124 HSC124:HSH124 IBY124:ICD124 ILU124:ILZ124 IVQ124:IVV124 JFM124:JFR124 JPI124:JPN124 JZE124:JZJ124 KJA124:KJF124 KSW124:KTB124 LCS124:LCX124 LMO124:LMT124 LWK124:LWP124 MGG124:MGL124 MQC124:MQH124 MZY124:NAD124 NJU124:NJZ124 NTQ124:NTV124 ODM124:ODR124 ONI124:ONN124 OXE124:OXJ124 PHA124:PHF124 PQW124:PRB124 QAS124:QAX124 QKO124:QKT124 QUK124:QUP124 REG124:REL124 ROC124:ROH124 RXY124:RYD124 SHU124:SHZ124 SRQ124:SRV124 TBM124:TBR124 TLI124:TLN124 TVE124:TVJ124 UFA124:UFF124 UOW124:UPB124 UYS124:UYX124 VIO124:VIT124 VSK124:VSP124 WCG124:WCL124 WMC124:WMH124 WVY124:WWD124 Q65660:V65660 JM65660:JR65660 TI65660:TN65660 ADE65660:ADJ65660 ANA65660:ANF65660 AWW65660:AXB65660 BGS65660:BGX65660 BQO65660:BQT65660 CAK65660:CAP65660 CKG65660:CKL65660 CUC65660:CUH65660 DDY65660:DED65660 DNU65660:DNZ65660 DXQ65660:DXV65660 EHM65660:EHR65660 ERI65660:ERN65660 FBE65660:FBJ65660 FLA65660:FLF65660 FUW65660:FVB65660 GES65660:GEX65660 GOO65660:GOT65660 GYK65660:GYP65660 HIG65660:HIL65660 HSC65660:HSH65660 IBY65660:ICD65660 ILU65660:ILZ65660 IVQ65660:IVV65660 JFM65660:JFR65660 JPI65660:JPN65660 JZE65660:JZJ65660 KJA65660:KJF65660 KSW65660:KTB65660 LCS65660:LCX65660 LMO65660:LMT65660 LWK65660:LWP65660 MGG65660:MGL65660 MQC65660:MQH65660 MZY65660:NAD65660 NJU65660:NJZ65660 NTQ65660:NTV65660 ODM65660:ODR65660 ONI65660:ONN65660 OXE65660:OXJ65660 PHA65660:PHF65660 PQW65660:PRB65660 QAS65660:QAX65660 QKO65660:QKT65660 QUK65660:QUP65660 REG65660:REL65660 ROC65660:ROH65660 RXY65660:RYD65660 SHU65660:SHZ65660 SRQ65660:SRV65660 TBM65660:TBR65660 TLI65660:TLN65660 TVE65660:TVJ65660 UFA65660:UFF65660 UOW65660:UPB65660 UYS65660:UYX65660 VIO65660:VIT65660 VSK65660:VSP65660 WCG65660:WCL65660 WMC65660:WMH65660 WVY65660:WWD65660 Q131196:V131196 JM131196:JR131196 TI131196:TN131196 ADE131196:ADJ131196 ANA131196:ANF131196 AWW131196:AXB131196 BGS131196:BGX131196 BQO131196:BQT131196 CAK131196:CAP131196 CKG131196:CKL131196 CUC131196:CUH131196 DDY131196:DED131196 DNU131196:DNZ131196 DXQ131196:DXV131196 EHM131196:EHR131196 ERI131196:ERN131196 FBE131196:FBJ131196 FLA131196:FLF131196 FUW131196:FVB131196 GES131196:GEX131196 GOO131196:GOT131196 GYK131196:GYP131196 HIG131196:HIL131196 HSC131196:HSH131196 IBY131196:ICD131196 ILU131196:ILZ131196 IVQ131196:IVV131196 JFM131196:JFR131196 JPI131196:JPN131196 JZE131196:JZJ131196 KJA131196:KJF131196 KSW131196:KTB131196 LCS131196:LCX131196 LMO131196:LMT131196 LWK131196:LWP131196 MGG131196:MGL131196 MQC131196:MQH131196 MZY131196:NAD131196 NJU131196:NJZ131196 NTQ131196:NTV131196 ODM131196:ODR131196 ONI131196:ONN131196 OXE131196:OXJ131196 PHA131196:PHF131196 PQW131196:PRB131196 QAS131196:QAX131196 QKO131196:QKT131196 QUK131196:QUP131196 REG131196:REL131196 ROC131196:ROH131196 RXY131196:RYD131196 SHU131196:SHZ131196 SRQ131196:SRV131196 TBM131196:TBR131196 TLI131196:TLN131196 TVE131196:TVJ131196 UFA131196:UFF131196 UOW131196:UPB131196 UYS131196:UYX131196 VIO131196:VIT131196 VSK131196:VSP131196 WCG131196:WCL131196 WMC131196:WMH131196 WVY131196:WWD131196 Q196732:V196732 JM196732:JR196732 TI196732:TN196732 ADE196732:ADJ196732 ANA196732:ANF196732 AWW196732:AXB196732 BGS196732:BGX196732 BQO196732:BQT196732 CAK196732:CAP196732 CKG196732:CKL196732 CUC196732:CUH196732 DDY196732:DED196732 DNU196732:DNZ196732 DXQ196732:DXV196732 EHM196732:EHR196732 ERI196732:ERN196732 FBE196732:FBJ196732 FLA196732:FLF196732 FUW196732:FVB196732 GES196732:GEX196732 GOO196732:GOT196732 GYK196732:GYP196732 HIG196732:HIL196732 HSC196732:HSH196732 IBY196732:ICD196732 ILU196732:ILZ196732 IVQ196732:IVV196732 JFM196732:JFR196732 JPI196732:JPN196732 JZE196732:JZJ196732 KJA196732:KJF196732 KSW196732:KTB196732 LCS196732:LCX196732 LMO196732:LMT196732 LWK196732:LWP196732 MGG196732:MGL196732 MQC196732:MQH196732 MZY196732:NAD196732 NJU196732:NJZ196732 NTQ196732:NTV196732 ODM196732:ODR196732 ONI196732:ONN196732 OXE196732:OXJ196732 PHA196732:PHF196732 PQW196732:PRB196732 QAS196732:QAX196732 QKO196732:QKT196732 QUK196732:QUP196732 REG196732:REL196732 ROC196732:ROH196732 RXY196732:RYD196732 SHU196732:SHZ196732 SRQ196732:SRV196732 TBM196732:TBR196732 TLI196732:TLN196732 TVE196732:TVJ196732 UFA196732:UFF196732 UOW196732:UPB196732 UYS196732:UYX196732 VIO196732:VIT196732 VSK196732:VSP196732 WCG196732:WCL196732 WMC196732:WMH196732 WVY196732:WWD196732 Q262268:V262268 JM262268:JR262268 TI262268:TN262268 ADE262268:ADJ262268 ANA262268:ANF262268 AWW262268:AXB262268 BGS262268:BGX262268 BQO262268:BQT262268 CAK262268:CAP262268 CKG262268:CKL262268 CUC262268:CUH262268 DDY262268:DED262268 DNU262268:DNZ262268 DXQ262268:DXV262268 EHM262268:EHR262268 ERI262268:ERN262268 FBE262268:FBJ262268 FLA262268:FLF262268 FUW262268:FVB262268 GES262268:GEX262268 GOO262268:GOT262268 GYK262268:GYP262268 HIG262268:HIL262268 HSC262268:HSH262268 IBY262268:ICD262268 ILU262268:ILZ262268 IVQ262268:IVV262268 JFM262268:JFR262268 JPI262268:JPN262268 JZE262268:JZJ262268 KJA262268:KJF262268 KSW262268:KTB262268 LCS262268:LCX262268 LMO262268:LMT262268 LWK262268:LWP262268 MGG262268:MGL262268 MQC262268:MQH262268 MZY262268:NAD262268 NJU262268:NJZ262268 NTQ262268:NTV262268 ODM262268:ODR262268 ONI262268:ONN262268 OXE262268:OXJ262268 PHA262268:PHF262268 PQW262268:PRB262268 QAS262268:QAX262268 QKO262268:QKT262268 QUK262268:QUP262268 REG262268:REL262268 ROC262268:ROH262268 RXY262268:RYD262268 SHU262268:SHZ262268 SRQ262268:SRV262268 TBM262268:TBR262268 TLI262268:TLN262268 TVE262268:TVJ262268 UFA262268:UFF262268 UOW262268:UPB262268 UYS262268:UYX262268 VIO262268:VIT262268 VSK262268:VSP262268 WCG262268:WCL262268 WMC262268:WMH262268 WVY262268:WWD262268 Q327804:V327804 JM327804:JR327804 TI327804:TN327804 ADE327804:ADJ327804 ANA327804:ANF327804 AWW327804:AXB327804 BGS327804:BGX327804 BQO327804:BQT327804 CAK327804:CAP327804 CKG327804:CKL327804 CUC327804:CUH327804 DDY327804:DED327804 DNU327804:DNZ327804 DXQ327804:DXV327804 EHM327804:EHR327804 ERI327804:ERN327804 FBE327804:FBJ327804 FLA327804:FLF327804 FUW327804:FVB327804 GES327804:GEX327804 GOO327804:GOT327804 GYK327804:GYP327804 HIG327804:HIL327804 HSC327804:HSH327804 IBY327804:ICD327804 ILU327804:ILZ327804 IVQ327804:IVV327804 JFM327804:JFR327804 JPI327804:JPN327804 JZE327804:JZJ327804 KJA327804:KJF327804 KSW327804:KTB327804 LCS327804:LCX327804 LMO327804:LMT327804 LWK327804:LWP327804 MGG327804:MGL327804 MQC327804:MQH327804 MZY327804:NAD327804 NJU327804:NJZ327804 NTQ327804:NTV327804 ODM327804:ODR327804 ONI327804:ONN327804 OXE327804:OXJ327804 PHA327804:PHF327804 PQW327804:PRB327804 QAS327804:QAX327804 QKO327804:QKT327804 QUK327804:QUP327804 REG327804:REL327804 ROC327804:ROH327804 RXY327804:RYD327804 SHU327804:SHZ327804 SRQ327804:SRV327804 TBM327804:TBR327804 TLI327804:TLN327804 TVE327804:TVJ327804 UFA327804:UFF327804 UOW327804:UPB327804 UYS327804:UYX327804 VIO327804:VIT327804 VSK327804:VSP327804 WCG327804:WCL327804 WMC327804:WMH327804 WVY327804:WWD327804 Q393340:V393340 JM393340:JR393340 TI393340:TN393340 ADE393340:ADJ393340 ANA393340:ANF393340 AWW393340:AXB393340 BGS393340:BGX393340 BQO393340:BQT393340 CAK393340:CAP393340 CKG393340:CKL393340 CUC393340:CUH393340 DDY393340:DED393340 DNU393340:DNZ393340 DXQ393340:DXV393340 EHM393340:EHR393340 ERI393340:ERN393340 FBE393340:FBJ393340 FLA393340:FLF393340 FUW393340:FVB393340 GES393340:GEX393340 GOO393340:GOT393340 GYK393340:GYP393340 HIG393340:HIL393340 HSC393340:HSH393340 IBY393340:ICD393340 ILU393340:ILZ393340 IVQ393340:IVV393340 JFM393340:JFR393340 JPI393340:JPN393340 JZE393340:JZJ393340 KJA393340:KJF393340 KSW393340:KTB393340 LCS393340:LCX393340 LMO393340:LMT393340 LWK393340:LWP393340 MGG393340:MGL393340 MQC393340:MQH393340 MZY393340:NAD393340 NJU393340:NJZ393340 NTQ393340:NTV393340 ODM393340:ODR393340 ONI393340:ONN393340 OXE393340:OXJ393340 PHA393340:PHF393340 PQW393340:PRB393340 QAS393340:QAX393340 QKO393340:QKT393340 QUK393340:QUP393340 REG393340:REL393340 ROC393340:ROH393340 RXY393340:RYD393340 SHU393340:SHZ393340 SRQ393340:SRV393340 TBM393340:TBR393340 TLI393340:TLN393340 TVE393340:TVJ393340 UFA393340:UFF393340 UOW393340:UPB393340 UYS393340:UYX393340 VIO393340:VIT393340 VSK393340:VSP393340 WCG393340:WCL393340 WMC393340:WMH393340 WVY393340:WWD393340 Q458876:V458876 JM458876:JR458876 TI458876:TN458876 ADE458876:ADJ458876 ANA458876:ANF458876 AWW458876:AXB458876 BGS458876:BGX458876 BQO458876:BQT458876 CAK458876:CAP458876 CKG458876:CKL458876 CUC458876:CUH458876 DDY458876:DED458876 DNU458876:DNZ458876 DXQ458876:DXV458876 EHM458876:EHR458876 ERI458876:ERN458876 FBE458876:FBJ458876 FLA458876:FLF458876 FUW458876:FVB458876 GES458876:GEX458876 GOO458876:GOT458876 GYK458876:GYP458876 HIG458876:HIL458876 HSC458876:HSH458876 IBY458876:ICD458876 ILU458876:ILZ458876 IVQ458876:IVV458876 JFM458876:JFR458876 JPI458876:JPN458876 JZE458876:JZJ458876 KJA458876:KJF458876 KSW458876:KTB458876 LCS458876:LCX458876 LMO458876:LMT458876 LWK458876:LWP458876 MGG458876:MGL458876 MQC458876:MQH458876 MZY458876:NAD458876 NJU458876:NJZ458876 NTQ458876:NTV458876 ODM458876:ODR458876 ONI458876:ONN458876 OXE458876:OXJ458876 PHA458876:PHF458876 PQW458876:PRB458876 QAS458876:QAX458876 QKO458876:QKT458876 QUK458876:QUP458876 REG458876:REL458876 ROC458876:ROH458876 RXY458876:RYD458876 SHU458876:SHZ458876 SRQ458876:SRV458876 TBM458876:TBR458876 TLI458876:TLN458876 TVE458876:TVJ458876 UFA458876:UFF458876 UOW458876:UPB458876 UYS458876:UYX458876 VIO458876:VIT458876 VSK458876:VSP458876 WCG458876:WCL458876 WMC458876:WMH458876 WVY458876:WWD458876 Q524412:V524412 JM524412:JR524412 TI524412:TN524412 ADE524412:ADJ524412 ANA524412:ANF524412 AWW524412:AXB524412 BGS524412:BGX524412 BQO524412:BQT524412 CAK524412:CAP524412 CKG524412:CKL524412 CUC524412:CUH524412 DDY524412:DED524412 DNU524412:DNZ524412 DXQ524412:DXV524412 EHM524412:EHR524412 ERI524412:ERN524412 FBE524412:FBJ524412 FLA524412:FLF524412 FUW524412:FVB524412 GES524412:GEX524412 GOO524412:GOT524412 GYK524412:GYP524412 HIG524412:HIL524412 HSC524412:HSH524412 IBY524412:ICD524412 ILU524412:ILZ524412 IVQ524412:IVV524412 JFM524412:JFR524412 JPI524412:JPN524412 JZE524412:JZJ524412 KJA524412:KJF524412 KSW524412:KTB524412 LCS524412:LCX524412 LMO524412:LMT524412 LWK524412:LWP524412 MGG524412:MGL524412 MQC524412:MQH524412 MZY524412:NAD524412 NJU524412:NJZ524412 NTQ524412:NTV524412 ODM524412:ODR524412 ONI524412:ONN524412 OXE524412:OXJ524412 PHA524412:PHF524412 PQW524412:PRB524412 QAS524412:QAX524412 QKO524412:QKT524412 QUK524412:QUP524412 REG524412:REL524412 ROC524412:ROH524412 RXY524412:RYD524412 SHU524412:SHZ524412 SRQ524412:SRV524412 TBM524412:TBR524412 TLI524412:TLN524412 TVE524412:TVJ524412 UFA524412:UFF524412 UOW524412:UPB524412 UYS524412:UYX524412 VIO524412:VIT524412 VSK524412:VSP524412 WCG524412:WCL524412 WMC524412:WMH524412 WVY524412:WWD524412 Q589948:V589948 JM589948:JR589948 TI589948:TN589948 ADE589948:ADJ589948 ANA589948:ANF589948 AWW589948:AXB589948 BGS589948:BGX589948 BQO589948:BQT589948 CAK589948:CAP589948 CKG589948:CKL589948 CUC589948:CUH589948 DDY589948:DED589948 DNU589948:DNZ589948 DXQ589948:DXV589948 EHM589948:EHR589948 ERI589948:ERN589948 FBE589948:FBJ589948 FLA589948:FLF589948 FUW589948:FVB589948 GES589948:GEX589948 GOO589948:GOT589948 GYK589948:GYP589948 HIG589948:HIL589948 HSC589948:HSH589948 IBY589948:ICD589948 ILU589948:ILZ589948 IVQ589948:IVV589948 JFM589948:JFR589948 JPI589948:JPN589948 JZE589948:JZJ589948 KJA589948:KJF589948 KSW589948:KTB589948 LCS589948:LCX589948 LMO589948:LMT589948 LWK589948:LWP589948 MGG589948:MGL589948 MQC589948:MQH589948 MZY589948:NAD589948 NJU589948:NJZ589948 NTQ589948:NTV589948 ODM589948:ODR589948 ONI589948:ONN589948 OXE589948:OXJ589948 PHA589948:PHF589948 PQW589948:PRB589948 QAS589948:QAX589948 QKO589948:QKT589948 QUK589948:QUP589948 REG589948:REL589948 ROC589948:ROH589948 RXY589948:RYD589948 SHU589948:SHZ589948 SRQ589948:SRV589948 TBM589948:TBR589948 TLI589948:TLN589948 TVE589948:TVJ589948 UFA589948:UFF589948 UOW589948:UPB589948 UYS589948:UYX589948 VIO589948:VIT589948 VSK589948:VSP589948 WCG589948:WCL589948 WMC589948:WMH589948 WVY589948:WWD589948 Q655484:V655484 JM655484:JR655484 TI655484:TN655484 ADE655484:ADJ655484 ANA655484:ANF655484 AWW655484:AXB655484 BGS655484:BGX655484 BQO655484:BQT655484 CAK655484:CAP655484 CKG655484:CKL655484 CUC655484:CUH655484 DDY655484:DED655484 DNU655484:DNZ655484 DXQ655484:DXV655484 EHM655484:EHR655484 ERI655484:ERN655484 FBE655484:FBJ655484 FLA655484:FLF655484 FUW655484:FVB655484 GES655484:GEX655484 GOO655484:GOT655484 GYK655484:GYP655484 HIG655484:HIL655484 HSC655484:HSH655484 IBY655484:ICD655484 ILU655484:ILZ655484 IVQ655484:IVV655484 JFM655484:JFR655484 JPI655484:JPN655484 JZE655484:JZJ655484 KJA655484:KJF655484 KSW655484:KTB655484 LCS655484:LCX655484 LMO655484:LMT655484 LWK655484:LWP655484 MGG655484:MGL655484 MQC655484:MQH655484 MZY655484:NAD655484 NJU655484:NJZ655484 NTQ655484:NTV655484 ODM655484:ODR655484 ONI655484:ONN655484 OXE655484:OXJ655484 PHA655484:PHF655484 PQW655484:PRB655484 QAS655484:QAX655484 QKO655484:QKT655484 QUK655484:QUP655484 REG655484:REL655484 ROC655484:ROH655484 RXY655484:RYD655484 SHU655484:SHZ655484 SRQ655484:SRV655484 TBM655484:TBR655484 TLI655484:TLN655484 TVE655484:TVJ655484 UFA655484:UFF655484 UOW655484:UPB655484 UYS655484:UYX655484 VIO655484:VIT655484 VSK655484:VSP655484 WCG655484:WCL655484 WMC655484:WMH655484 WVY655484:WWD655484 Q721020:V721020 JM721020:JR721020 TI721020:TN721020 ADE721020:ADJ721020 ANA721020:ANF721020 AWW721020:AXB721020 BGS721020:BGX721020 BQO721020:BQT721020 CAK721020:CAP721020 CKG721020:CKL721020 CUC721020:CUH721020 DDY721020:DED721020 DNU721020:DNZ721020 DXQ721020:DXV721020 EHM721020:EHR721020 ERI721020:ERN721020 FBE721020:FBJ721020 FLA721020:FLF721020 FUW721020:FVB721020 GES721020:GEX721020 GOO721020:GOT721020 GYK721020:GYP721020 HIG721020:HIL721020 HSC721020:HSH721020 IBY721020:ICD721020 ILU721020:ILZ721020 IVQ721020:IVV721020 JFM721020:JFR721020 JPI721020:JPN721020 JZE721020:JZJ721020 KJA721020:KJF721020 KSW721020:KTB721020 LCS721020:LCX721020 LMO721020:LMT721020 LWK721020:LWP721020 MGG721020:MGL721020 MQC721020:MQH721020 MZY721020:NAD721020 NJU721020:NJZ721020 NTQ721020:NTV721020 ODM721020:ODR721020 ONI721020:ONN721020 OXE721020:OXJ721020 PHA721020:PHF721020 PQW721020:PRB721020 QAS721020:QAX721020 QKO721020:QKT721020 QUK721020:QUP721020 REG721020:REL721020 ROC721020:ROH721020 RXY721020:RYD721020 SHU721020:SHZ721020 SRQ721020:SRV721020 TBM721020:TBR721020 TLI721020:TLN721020 TVE721020:TVJ721020 UFA721020:UFF721020 UOW721020:UPB721020 UYS721020:UYX721020 VIO721020:VIT721020 VSK721020:VSP721020 WCG721020:WCL721020 WMC721020:WMH721020 WVY721020:WWD721020 Q786556:V786556 JM786556:JR786556 TI786556:TN786556 ADE786556:ADJ786556 ANA786556:ANF786556 AWW786556:AXB786556 BGS786556:BGX786556 BQO786556:BQT786556 CAK786556:CAP786556 CKG786556:CKL786556 CUC786556:CUH786556 DDY786556:DED786556 DNU786556:DNZ786556 DXQ786556:DXV786556 EHM786556:EHR786556 ERI786556:ERN786556 FBE786556:FBJ786556 FLA786556:FLF786556 FUW786556:FVB786556 GES786556:GEX786556 GOO786556:GOT786556 GYK786556:GYP786556 HIG786556:HIL786556 HSC786556:HSH786556 IBY786556:ICD786556 ILU786556:ILZ786556 IVQ786556:IVV786556 JFM786556:JFR786556 JPI786556:JPN786556 JZE786556:JZJ786556 KJA786556:KJF786556 KSW786556:KTB786556 LCS786556:LCX786556 LMO786556:LMT786556 LWK786556:LWP786556 MGG786556:MGL786556 MQC786556:MQH786556 MZY786556:NAD786556 NJU786556:NJZ786556 NTQ786556:NTV786556 ODM786556:ODR786556 ONI786556:ONN786556 OXE786556:OXJ786556 PHA786556:PHF786556 PQW786556:PRB786556 QAS786556:QAX786556 QKO786556:QKT786556 QUK786556:QUP786556 REG786556:REL786556 ROC786556:ROH786556 RXY786556:RYD786556 SHU786556:SHZ786556 SRQ786556:SRV786556 TBM786556:TBR786556 TLI786556:TLN786556 TVE786556:TVJ786556 UFA786556:UFF786556 UOW786556:UPB786556 UYS786556:UYX786556 VIO786556:VIT786556 VSK786556:VSP786556 WCG786556:WCL786556 WMC786556:WMH786556 WVY786556:WWD786556 Q852092:V852092 JM852092:JR852092 TI852092:TN852092 ADE852092:ADJ852092 ANA852092:ANF852092 AWW852092:AXB852092 BGS852092:BGX852092 BQO852092:BQT852092 CAK852092:CAP852092 CKG852092:CKL852092 CUC852092:CUH852092 DDY852092:DED852092 DNU852092:DNZ852092 DXQ852092:DXV852092 EHM852092:EHR852092 ERI852092:ERN852092 FBE852092:FBJ852092 FLA852092:FLF852092 FUW852092:FVB852092 GES852092:GEX852092 GOO852092:GOT852092 GYK852092:GYP852092 HIG852092:HIL852092 HSC852092:HSH852092 IBY852092:ICD852092 ILU852092:ILZ852092 IVQ852092:IVV852092 JFM852092:JFR852092 JPI852092:JPN852092 JZE852092:JZJ852092 KJA852092:KJF852092 KSW852092:KTB852092 LCS852092:LCX852092 LMO852092:LMT852092 LWK852092:LWP852092 MGG852092:MGL852092 MQC852092:MQH852092 MZY852092:NAD852092 NJU852092:NJZ852092 NTQ852092:NTV852092 ODM852092:ODR852092 ONI852092:ONN852092 OXE852092:OXJ852092 PHA852092:PHF852092 PQW852092:PRB852092 QAS852092:QAX852092 QKO852092:QKT852092 QUK852092:QUP852092 REG852092:REL852092 ROC852092:ROH852092 RXY852092:RYD852092 SHU852092:SHZ852092 SRQ852092:SRV852092 TBM852092:TBR852092 TLI852092:TLN852092 TVE852092:TVJ852092 UFA852092:UFF852092 UOW852092:UPB852092 UYS852092:UYX852092 VIO852092:VIT852092 VSK852092:VSP852092 WCG852092:WCL852092 WMC852092:WMH852092 WVY852092:WWD852092 Q917628:V917628 JM917628:JR917628 TI917628:TN917628 ADE917628:ADJ917628 ANA917628:ANF917628 AWW917628:AXB917628 BGS917628:BGX917628 BQO917628:BQT917628 CAK917628:CAP917628 CKG917628:CKL917628 CUC917628:CUH917628 DDY917628:DED917628 DNU917628:DNZ917628 DXQ917628:DXV917628 EHM917628:EHR917628 ERI917628:ERN917628 FBE917628:FBJ917628 FLA917628:FLF917628 FUW917628:FVB917628 GES917628:GEX917628 GOO917628:GOT917628 GYK917628:GYP917628 HIG917628:HIL917628 HSC917628:HSH917628 IBY917628:ICD917628 ILU917628:ILZ917628 IVQ917628:IVV917628 JFM917628:JFR917628 JPI917628:JPN917628 JZE917628:JZJ917628 KJA917628:KJF917628 KSW917628:KTB917628 LCS917628:LCX917628 LMO917628:LMT917628 LWK917628:LWP917628 MGG917628:MGL917628 MQC917628:MQH917628 MZY917628:NAD917628 NJU917628:NJZ917628 NTQ917628:NTV917628 ODM917628:ODR917628 ONI917628:ONN917628 OXE917628:OXJ917628 PHA917628:PHF917628 PQW917628:PRB917628 QAS917628:QAX917628 QKO917628:QKT917628 QUK917628:QUP917628 REG917628:REL917628 ROC917628:ROH917628 RXY917628:RYD917628 SHU917628:SHZ917628 SRQ917628:SRV917628 TBM917628:TBR917628 TLI917628:TLN917628 TVE917628:TVJ917628 UFA917628:UFF917628 UOW917628:UPB917628 UYS917628:UYX917628 VIO917628:VIT917628 VSK917628:VSP917628 WCG917628:WCL917628 WMC917628:WMH917628 WVY917628:WWD917628 Q983164:V983164 JM983164:JR983164 TI983164:TN983164 ADE983164:ADJ983164 ANA983164:ANF983164 AWW983164:AXB983164 BGS983164:BGX983164 BQO983164:BQT983164 CAK983164:CAP983164 CKG983164:CKL983164 CUC983164:CUH983164 DDY983164:DED983164 DNU983164:DNZ983164 DXQ983164:DXV983164 EHM983164:EHR983164 ERI983164:ERN983164 FBE983164:FBJ983164 FLA983164:FLF983164 FUW983164:FVB983164 GES983164:GEX983164 GOO983164:GOT983164 GYK983164:GYP983164 HIG983164:HIL983164 HSC983164:HSH983164 IBY983164:ICD983164 ILU983164:ILZ983164 IVQ983164:IVV983164 JFM983164:JFR983164 JPI983164:JPN983164 JZE983164:JZJ983164 KJA983164:KJF983164 KSW983164:KTB983164 LCS983164:LCX983164 LMO983164:LMT983164 LWK983164:LWP983164 MGG983164:MGL983164 MQC983164:MQH983164 MZY983164:NAD983164 NJU983164:NJZ983164 NTQ983164:NTV983164 ODM983164:ODR983164 ONI983164:ONN983164 OXE983164:OXJ983164 PHA983164:PHF983164 PQW983164:PRB983164 QAS983164:QAX983164 QKO983164:QKT983164 QUK983164:QUP983164 REG983164:REL983164 ROC983164:ROH983164 RXY983164:RYD983164 SHU983164:SHZ983164 SRQ983164:SRV983164 TBM983164:TBR983164 TLI983164:TLN983164 TVE983164:TVJ983164 UFA983164:UFF983164 UOW983164:UPB983164 UYS983164:UYX983164 VIO983164:VIT983164 VSK983164:VSP983164 WCG983164:WCL983164 WMC983164:WMH983164 WVY983164:WWD983164 R126:V126 JN126:JR126 TJ126:TN126 ADF126:ADJ126 ANB126:ANF126 AWX126:AXB126 BGT126:BGX126 BQP126:BQT126 CAL126:CAP126 CKH126:CKL126 CUD126:CUH126 DDZ126:DED126 DNV126:DNZ126 DXR126:DXV126 EHN126:EHR126 ERJ126:ERN126 FBF126:FBJ126 FLB126:FLF126 FUX126:FVB126 GET126:GEX126 GOP126:GOT126 GYL126:GYP126 HIH126:HIL126 HSD126:HSH126 IBZ126:ICD126 ILV126:ILZ126 IVR126:IVV126 JFN126:JFR126 JPJ126:JPN126 JZF126:JZJ126 KJB126:KJF126 KSX126:KTB126 LCT126:LCX126 LMP126:LMT126 LWL126:LWP126 MGH126:MGL126 MQD126:MQH126 MZZ126:NAD126 NJV126:NJZ126 NTR126:NTV126 ODN126:ODR126 ONJ126:ONN126 OXF126:OXJ126 PHB126:PHF126 PQX126:PRB126 QAT126:QAX126 QKP126:QKT126 QUL126:QUP126 REH126:REL126 ROD126:ROH126 RXZ126:RYD126 SHV126:SHZ126 SRR126:SRV126 TBN126:TBR126 TLJ126:TLN126 TVF126:TVJ126 UFB126:UFF126 UOX126:UPB126 UYT126:UYX126 VIP126:VIT126 VSL126:VSP126 WCH126:WCL126 WMD126:WMH126 WVZ126:WWD126 R65662:V65662 JN65662:JR65662 TJ65662:TN65662 ADF65662:ADJ65662 ANB65662:ANF65662 AWX65662:AXB65662 BGT65662:BGX65662 BQP65662:BQT65662 CAL65662:CAP65662 CKH65662:CKL65662 CUD65662:CUH65662 DDZ65662:DED65662 DNV65662:DNZ65662 DXR65662:DXV65662 EHN65662:EHR65662 ERJ65662:ERN65662 FBF65662:FBJ65662 FLB65662:FLF65662 FUX65662:FVB65662 GET65662:GEX65662 GOP65662:GOT65662 GYL65662:GYP65662 HIH65662:HIL65662 HSD65662:HSH65662 IBZ65662:ICD65662 ILV65662:ILZ65662 IVR65662:IVV65662 JFN65662:JFR65662 JPJ65662:JPN65662 JZF65662:JZJ65662 KJB65662:KJF65662 KSX65662:KTB65662 LCT65662:LCX65662 LMP65662:LMT65662 LWL65662:LWP65662 MGH65662:MGL65662 MQD65662:MQH65662 MZZ65662:NAD65662 NJV65662:NJZ65662 NTR65662:NTV65662 ODN65662:ODR65662 ONJ65662:ONN65662 OXF65662:OXJ65662 PHB65662:PHF65662 PQX65662:PRB65662 QAT65662:QAX65662 QKP65662:QKT65662 QUL65662:QUP65662 REH65662:REL65662 ROD65662:ROH65662 RXZ65662:RYD65662 SHV65662:SHZ65662 SRR65662:SRV65662 TBN65662:TBR65662 TLJ65662:TLN65662 TVF65662:TVJ65662 UFB65662:UFF65662 UOX65662:UPB65662 UYT65662:UYX65662 VIP65662:VIT65662 VSL65662:VSP65662 WCH65662:WCL65662 WMD65662:WMH65662 WVZ65662:WWD65662 R131198:V131198 JN131198:JR131198 TJ131198:TN131198 ADF131198:ADJ131198 ANB131198:ANF131198 AWX131198:AXB131198 BGT131198:BGX131198 BQP131198:BQT131198 CAL131198:CAP131198 CKH131198:CKL131198 CUD131198:CUH131198 DDZ131198:DED131198 DNV131198:DNZ131198 DXR131198:DXV131198 EHN131198:EHR131198 ERJ131198:ERN131198 FBF131198:FBJ131198 FLB131198:FLF131198 FUX131198:FVB131198 GET131198:GEX131198 GOP131198:GOT131198 GYL131198:GYP131198 HIH131198:HIL131198 HSD131198:HSH131198 IBZ131198:ICD131198 ILV131198:ILZ131198 IVR131198:IVV131198 JFN131198:JFR131198 JPJ131198:JPN131198 JZF131198:JZJ131198 KJB131198:KJF131198 KSX131198:KTB131198 LCT131198:LCX131198 LMP131198:LMT131198 LWL131198:LWP131198 MGH131198:MGL131198 MQD131198:MQH131198 MZZ131198:NAD131198 NJV131198:NJZ131198 NTR131198:NTV131198 ODN131198:ODR131198 ONJ131198:ONN131198 OXF131198:OXJ131198 PHB131198:PHF131198 PQX131198:PRB131198 QAT131198:QAX131198 QKP131198:QKT131198 QUL131198:QUP131198 REH131198:REL131198 ROD131198:ROH131198 RXZ131198:RYD131198 SHV131198:SHZ131198 SRR131198:SRV131198 TBN131198:TBR131198 TLJ131198:TLN131198 TVF131198:TVJ131198 UFB131198:UFF131198 UOX131198:UPB131198 UYT131198:UYX131198 VIP131198:VIT131198 VSL131198:VSP131198 WCH131198:WCL131198 WMD131198:WMH131198 WVZ131198:WWD131198 R196734:V196734 JN196734:JR196734 TJ196734:TN196734 ADF196734:ADJ196734 ANB196734:ANF196734 AWX196734:AXB196734 BGT196734:BGX196734 BQP196734:BQT196734 CAL196734:CAP196734 CKH196734:CKL196734 CUD196734:CUH196734 DDZ196734:DED196734 DNV196734:DNZ196734 DXR196734:DXV196734 EHN196734:EHR196734 ERJ196734:ERN196734 FBF196734:FBJ196734 FLB196734:FLF196734 FUX196734:FVB196734 GET196734:GEX196734 GOP196734:GOT196734 GYL196734:GYP196734 HIH196734:HIL196734 HSD196734:HSH196734 IBZ196734:ICD196734 ILV196734:ILZ196734 IVR196734:IVV196734 JFN196734:JFR196734 JPJ196734:JPN196734 JZF196734:JZJ196734 KJB196734:KJF196734 KSX196734:KTB196734 LCT196734:LCX196734 LMP196734:LMT196734 LWL196734:LWP196734 MGH196734:MGL196734 MQD196734:MQH196734 MZZ196734:NAD196734 NJV196734:NJZ196734 NTR196734:NTV196734 ODN196734:ODR196734 ONJ196734:ONN196734 OXF196734:OXJ196734 PHB196734:PHF196734 PQX196734:PRB196734 QAT196734:QAX196734 QKP196734:QKT196734 QUL196734:QUP196734 REH196734:REL196734 ROD196734:ROH196734 RXZ196734:RYD196734 SHV196734:SHZ196734 SRR196734:SRV196734 TBN196734:TBR196734 TLJ196734:TLN196734 TVF196734:TVJ196734 UFB196734:UFF196734 UOX196734:UPB196734 UYT196734:UYX196734 VIP196734:VIT196734 VSL196734:VSP196734 WCH196734:WCL196734 WMD196734:WMH196734 WVZ196734:WWD196734 R262270:V262270 JN262270:JR262270 TJ262270:TN262270 ADF262270:ADJ262270 ANB262270:ANF262270 AWX262270:AXB262270 BGT262270:BGX262270 BQP262270:BQT262270 CAL262270:CAP262270 CKH262270:CKL262270 CUD262270:CUH262270 DDZ262270:DED262270 DNV262270:DNZ262270 DXR262270:DXV262270 EHN262270:EHR262270 ERJ262270:ERN262270 FBF262270:FBJ262270 FLB262270:FLF262270 FUX262270:FVB262270 GET262270:GEX262270 GOP262270:GOT262270 GYL262270:GYP262270 HIH262270:HIL262270 HSD262270:HSH262270 IBZ262270:ICD262270 ILV262270:ILZ262270 IVR262270:IVV262270 JFN262270:JFR262270 JPJ262270:JPN262270 JZF262270:JZJ262270 KJB262270:KJF262270 KSX262270:KTB262270 LCT262270:LCX262270 LMP262270:LMT262270 LWL262270:LWP262270 MGH262270:MGL262270 MQD262270:MQH262270 MZZ262270:NAD262270 NJV262270:NJZ262270 NTR262270:NTV262270 ODN262270:ODR262270 ONJ262270:ONN262270 OXF262270:OXJ262270 PHB262270:PHF262270 PQX262270:PRB262270 QAT262270:QAX262270 QKP262270:QKT262270 QUL262270:QUP262270 REH262270:REL262270 ROD262270:ROH262270 RXZ262270:RYD262270 SHV262270:SHZ262270 SRR262270:SRV262270 TBN262270:TBR262270 TLJ262270:TLN262270 TVF262270:TVJ262270 UFB262270:UFF262270 UOX262270:UPB262270 UYT262270:UYX262270 VIP262270:VIT262270 VSL262270:VSP262270 WCH262270:WCL262270 WMD262270:WMH262270 WVZ262270:WWD262270 R327806:V327806 JN327806:JR327806 TJ327806:TN327806 ADF327806:ADJ327806 ANB327806:ANF327806 AWX327806:AXB327806 BGT327806:BGX327806 BQP327806:BQT327806 CAL327806:CAP327806 CKH327806:CKL327806 CUD327806:CUH327806 DDZ327806:DED327806 DNV327806:DNZ327806 DXR327806:DXV327806 EHN327806:EHR327806 ERJ327806:ERN327806 FBF327806:FBJ327806 FLB327806:FLF327806 FUX327806:FVB327806 GET327806:GEX327806 GOP327806:GOT327806 GYL327806:GYP327806 HIH327806:HIL327806 HSD327806:HSH327806 IBZ327806:ICD327806 ILV327806:ILZ327806 IVR327806:IVV327806 JFN327806:JFR327806 JPJ327806:JPN327806 JZF327806:JZJ327806 KJB327806:KJF327806 KSX327806:KTB327806 LCT327806:LCX327806 LMP327806:LMT327806 LWL327806:LWP327806 MGH327806:MGL327806 MQD327806:MQH327806 MZZ327806:NAD327806 NJV327806:NJZ327806 NTR327806:NTV327806 ODN327806:ODR327806 ONJ327806:ONN327806 OXF327806:OXJ327806 PHB327806:PHF327806 PQX327806:PRB327806 QAT327806:QAX327806 QKP327806:QKT327806 QUL327806:QUP327806 REH327806:REL327806 ROD327806:ROH327806 RXZ327806:RYD327806 SHV327806:SHZ327806 SRR327806:SRV327806 TBN327806:TBR327806 TLJ327806:TLN327806 TVF327806:TVJ327806 UFB327806:UFF327806 UOX327806:UPB327806 UYT327806:UYX327806 VIP327806:VIT327806 VSL327806:VSP327806 WCH327806:WCL327806 WMD327806:WMH327806 WVZ327806:WWD327806 R393342:V393342 JN393342:JR393342 TJ393342:TN393342 ADF393342:ADJ393342 ANB393342:ANF393342 AWX393342:AXB393342 BGT393342:BGX393342 BQP393342:BQT393342 CAL393342:CAP393342 CKH393342:CKL393342 CUD393342:CUH393342 DDZ393342:DED393342 DNV393342:DNZ393342 DXR393342:DXV393342 EHN393342:EHR393342 ERJ393342:ERN393342 FBF393342:FBJ393342 FLB393342:FLF393342 FUX393342:FVB393342 GET393342:GEX393342 GOP393342:GOT393342 GYL393342:GYP393342 HIH393342:HIL393342 HSD393342:HSH393342 IBZ393342:ICD393342 ILV393342:ILZ393342 IVR393342:IVV393342 JFN393342:JFR393342 JPJ393342:JPN393342 JZF393342:JZJ393342 KJB393342:KJF393342 KSX393342:KTB393342 LCT393342:LCX393342 LMP393342:LMT393342 LWL393342:LWP393342 MGH393342:MGL393342 MQD393342:MQH393342 MZZ393342:NAD393342 NJV393342:NJZ393342 NTR393342:NTV393342 ODN393342:ODR393342 ONJ393342:ONN393342 OXF393342:OXJ393342 PHB393342:PHF393342 PQX393342:PRB393342 QAT393342:QAX393342 QKP393342:QKT393342 QUL393342:QUP393342 REH393342:REL393342 ROD393342:ROH393342 RXZ393342:RYD393342 SHV393342:SHZ393342 SRR393342:SRV393342 TBN393342:TBR393342 TLJ393342:TLN393342 TVF393342:TVJ393342 UFB393342:UFF393342 UOX393342:UPB393342 UYT393342:UYX393342 VIP393342:VIT393342 VSL393342:VSP393342 WCH393342:WCL393342 WMD393342:WMH393342 WVZ393342:WWD393342 R458878:V458878 JN458878:JR458878 TJ458878:TN458878 ADF458878:ADJ458878 ANB458878:ANF458878 AWX458878:AXB458878 BGT458878:BGX458878 BQP458878:BQT458878 CAL458878:CAP458878 CKH458878:CKL458878 CUD458878:CUH458878 DDZ458878:DED458878 DNV458878:DNZ458878 DXR458878:DXV458878 EHN458878:EHR458878 ERJ458878:ERN458878 FBF458878:FBJ458878 FLB458878:FLF458878 FUX458878:FVB458878 GET458878:GEX458878 GOP458878:GOT458878 GYL458878:GYP458878 HIH458878:HIL458878 HSD458878:HSH458878 IBZ458878:ICD458878 ILV458878:ILZ458878 IVR458878:IVV458878 JFN458878:JFR458878 JPJ458878:JPN458878 JZF458878:JZJ458878 KJB458878:KJF458878 KSX458878:KTB458878 LCT458878:LCX458878 LMP458878:LMT458878 LWL458878:LWP458878 MGH458878:MGL458878 MQD458878:MQH458878 MZZ458878:NAD458878 NJV458878:NJZ458878 NTR458878:NTV458878 ODN458878:ODR458878 ONJ458878:ONN458878 OXF458878:OXJ458878 PHB458878:PHF458878 PQX458878:PRB458878 QAT458878:QAX458878 QKP458878:QKT458878 QUL458878:QUP458878 REH458878:REL458878 ROD458878:ROH458878 RXZ458878:RYD458878 SHV458878:SHZ458878 SRR458878:SRV458878 TBN458878:TBR458878 TLJ458878:TLN458878 TVF458878:TVJ458878 UFB458878:UFF458878 UOX458878:UPB458878 UYT458878:UYX458878 VIP458878:VIT458878 VSL458878:VSP458878 WCH458878:WCL458878 WMD458878:WMH458878 WVZ458878:WWD458878 R524414:V524414 JN524414:JR524414 TJ524414:TN524414 ADF524414:ADJ524414 ANB524414:ANF524414 AWX524414:AXB524414 BGT524414:BGX524414 BQP524414:BQT524414 CAL524414:CAP524414 CKH524414:CKL524414 CUD524414:CUH524414 DDZ524414:DED524414 DNV524414:DNZ524414 DXR524414:DXV524414 EHN524414:EHR524414 ERJ524414:ERN524414 FBF524414:FBJ524414 FLB524414:FLF524414 FUX524414:FVB524414 GET524414:GEX524414 GOP524414:GOT524414 GYL524414:GYP524414 HIH524414:HIL524414 HSD524414:HSH524414 IBZ524414:ICD524414 ILV524414:ILZ524414 IVR524414:IVV524414 JFN524414:JFR524414 JPJ524414:JPN524414 JZF524414:JZJ524414 KJB524414:KJF524414 KSX524414:KTB524414 LCT524414:LCX524414 LMP524414:LMT524414 LWL524414:LWP524414 MGH524414:MGL524414 MQD524414:MQH524414 MZZ524414:NAD524414 NJV524414:NJZ524414 NTR524414:NTV524414 ODN524414:ODR524414 ONJ524414:ONN524414 OXF524414:OXJ524414 PHB524414:PHF524414 PQX524414:PRB524414 QAT524414:QAX524414 QKP524414:QKT524414 QUL524414:QUP524414 REH524414:REL524414 ROD524414:ROH524414 RXZ524414:RYD524414 SHV524414:SHZ524414 SRR524414:SRV524414 TBN524414:TBR524414 TLJ524414:TLN524414 TVF524414:TVJ524414 UFB524414:UFF524414 UOX524414:UPB524414 UYT524414:UYX524414 VIP524414:VIT524414 VSL524414:VSP524414 WCH524414:WCL524414 WMD524414:WMH524414 WVZ524414:WWD524414 R589950:V589950 JN589950:JR589950 TJ589950:TN589950 ADF589950:ADJ589950 ANB589950:ANF589950 AWX589950:AXB589950 BGT589950:BGX589950 BQP589950:BQT589950 CAL589950:CAP589950 CKH589950:CKL589950 CUD589950:CUH589950 DDZ589950:DED589950 DNV589950:DNZ589950 DXR589950:DXV589950 EHN589950:EHR589950 ERJ589950:ERN589950 FBF589950:FBJ589950 FLB589950:FLF589950 FUX589950:FVB589950 GET589950:GEX589950 GOP589950:GOT589950 GYL589950:GYP589950 HIH589950:HIL589950 HSD589950:HSH589950 IBZ589950:ICD589950 ILV589950:ILZ589950 IVR589950:IVV589950 JFN589950:JFR589950 JPJ589950:JPN589950 JZF589950:JZJ589950 KJB589950:KJF589950 KSX589950:KTB589950 LCT589950:LCX589950 LMP589950:LMT589950 LWL589950:LWP589950 MGH589950:MGL589950 MQD589950:MQH589950 MZZ589950:NAD589950 NJV589950:NJZ589950 NTR589950:NTV589950 ODN589950:ODR589950 ONJ589950:ONN589950 OXF589950:OXJ589950 PHB589950:PHF589950 PQX589950:PRB589950 QAT589950:QAX589950 QKP589950:QKT589950 QUL589950:QUP589950 REH589950:REL589950 ROD589950:ROH589950 RXZ589950:RYD589950 SHV589950:SHZ589950 SRR589950:SRV589950 TBN589950:TBR589950 TLJ589950:TLN589950 TVF589950:TVJ589950 UFB589950:UFF589950 UOX589950:UPB589950 UYT589950:UYX589950 VIP589950:VIT589950 VSL589950:VSP589950 WCH589950:WCL589950 WMD589950:WMH589950 WVZ589950:WWD589950 R655486:V655486 JN655486:JR655486 TJ655486:TN655486 ADF655486:ADJ655486 ANB655486:ANF655486 AWX655486:AXB655486 BGT655486:BGX655486 BQP655486:BQT655486 CAL655486:CAP655486 CKH655486:CKL655486 CUD655486:CUH655486 DDZ655486:DED655486 DNV655486:DNZ655486 DXR655486:DXV655486 EHN655486:EHR655486 ERJ655486:ERN655486 FBF655486:FBJ655486 FLB655486:FLF655486 FUX655486:FVB655486 GET655486:GEX655486 GOP655486:GOT655486 GYL655486:GYP655486 HIH655486:HIL655486 HSD655486:HSH655486 IBZ655486:ICD655486 ILV655486:ILZ655486 IVR655486:IVV655486 JFN655486:JFR655486 JPJ655486:JPN655486 JZF655486:JZJ655486 KJB655486:KJF655486 KSX655486:KTB655486 LCT655486:LCX655486 LMP655486:LMT655486 LWL655486:LWP655486 MGH655486:MGL655486 MQD655486:MQH655486 MZZ655486:NAD655486 NJV655486:NJZ655486 NTR655486:NTV655486 ODN655486:ODR655486 ONJ655486:ONN655486 OXF655486:OXJ655486 PHB655486:PHF655486 PQX655486:PRB655486 QAT655486:QAX655486 QKP655486:QKT655486 QUL655486:QUP655486 REH655486:REL655486 ROD655486:ROH655486 RXZ655486:RYD655486 SHV655486:SHZ655486 SRR655486:SRV655486 TBN655486:TBR655486 TLJ655486:TLN655486 TVF655486:TVJ655486 UFB655486:UFF655486 UOX655486:UPB655486 UYT655486:UYX655486 VIP655486:VIT655486 VSL655486:VSP655486 WCH655486:WCL655486 WMD655486:WMH655486 WVZ655486:WWD655486 R721022:V721022 JN721022:JR721022 TJ721022:TN721022 ADF721022:ADJ721022 ANB721022:ANF721022 AWX721022:AXB721022 BGT721022:BGX721022 BQP721022:BQT721022 CAL721022:CAP721022 CKH721022:CKL721022 CUD721022:CUH721022 DDZ721022:DED721022 DNV721022:DNZ721022 DXR721022:DXV721022 EHN721022:EHR721022 ERJ721022:ERN721022 FBF721022:FBJ721022 FLB721022:FLF721022 FUX721022:FVB721022 GET721022:GEX721022 GOP721022:GOT721022 GYL721022:GYP721022 HIH721022:HIL721022 HSD721022:HSH721022 IBZ721022:ICD721022 ILV721022:ILZ721022 IVR721022:IVV721022 JFN721022:JFR721022 JPJ721022:JPN721022 JZF721022:JZJ721022 KJB721022:KJF721022 KSX721022:KTB721022 LCT721022:LCX721022 LMP721022:LMT721022 LWL721022:LWP721022 MGH721022:MGL721022 MQD721022:MQH721022 MZZ721022:NAD721022 NJV721022:NJZ721022 NTR721022:NTV721022 ODN721022:ODR721022 ONJ721022:ONN721022 OXF721022:OXJ721022 PHB721022:PHF721022 PQX721022:PRB721022 QAT721022:QAX721022 QKP721022:QKT721022 QUL721022:QUP721022 REH721022:REL721022 ROD721022:ROH721022 RXZ721022:RYD721022 SHV721022:SHZ721022 SRR721022:SRV721022 TBN721022:TBR721022 TLJ721022:TLN721022 TVF721022:TVJ721022 UFB721022:UFF721022 UOX721022:UPB721022 UYT721022:UYX721022 VIP721022:VIT721022 VSL721022:VSP721022 WCH721022:WCL721022 WMD721022:WMH721022 WVZ721022:WWD721022 R786558:V786558 JN786558:JR786558 TJ786558:TN786558 ADF786558:ADJ786558 ANB786558:ANF786558 AWX786558:AXB786558 BGT786558:BGX786558 BQP786558:BQT786558 CAL786558:CAP786558 CKH786558:CKL786558 CUD786558:CUH786558 DDZ786558:DED786558 DNV786558:DNZ786558 DXR786558:DXV786558 EHN786558:EHR786558 ERJ786558:ERN786558 FBF786558:FBJ786558 FLB786558:FLF786558 FUX786558:FVB786558 GET786558:GEX786558 GOP786558:GOT786558 GYL786558:GYP786558 HIH786558:HIL786558 HSD786558:HSH786558 IBZ786558:ICD786558 ILV786558:ILZ786558 IVR786558:IVV786558 JFN786558:JFR786558 JPJ786558:JPN786558 JZF786558:JZJ786558 KJB786558:KJF786558 KSX786558:KTB786558 LCT786558:LCX786558 LMP786558:LMT786558 LWL786558:LWP786558 MGH786558:MGL786558 MQD786558:MQH786558 MZZ786558:NAD786558 NJV786558:NJZ786558 NTR786558:NTV786558 ODN786558:ODR786558 ONJ786558:ONN786558 OXF786558:OXJ786558 PHB786558:PHF786558 PQX786558:PRB786558 QAT786558:QAX786558 QKP786558:QKT786558 QUL786558:QUP786558 REH786558:REL786558 ROD786558:ROH786558 RXZ786558:RYD786558 SHV786558:SHZ786558 SRR786558:SRV786558 TBN786558:TBR786558 TLJ786558:TLN786558 TVF786558:TVJ786558 UFB786558:UFF786558 UOX786558:UPB786558 UYT786558:UYX786558 VIP786558:VIT786558 VSL786558:VSP786558 WCH786558:WCL786558 WMD786558:WMH786558 WVZ786558:WWD786558 R852094:V852094 JN852094:JR852094 TJ852094:TN852094 ADF852094:ADJ852094 ANB852094:ANF852094 AWX852094:AXB852094 BGT852094:BGX852094 BQP852094:BQT852094 CAL852094:CAP852094 CKH852094:CKL852094 CUD852094:CUH852094 DDZ852094:DED852094 DNV852094:DNZ852094 DXR852094:DXV852094 EHN852094:EHR852094 ERJ852094:ERN852094 FBF852094:FBJ852094 FLB852094:FLF852094 FUX852094:FVB852094 GET852094:GEX852094 GOP852094:GOT852094 GYL852094:GYP852094 HIH852094:HIL852094 HSD852094:HSH852094 IBZ852094:ICD852094 ILV852094:ILZ852094 IVR852094:IVV852094 JFN852094:JFR852094 JPJ852094:JPN852094 JZF852094:JZJ852094 KJB852094:KJF852094 KSX852094:KTB852094 LCT852094:LCX852094 LMP852094:LMT852094 LWL852094:LWP852094 MGH852094:MGL852094 MQD852094:MQH852094 MZZ852094:NAD852094 NJV852094:NJZ852094 NTR852094:NTV852094 ODN852094:ODR852094 ONJ852094:ONN852094 OXF852094:OXJ852094 PHB852094:PHF852094 PQX852094:PRB852094 QAT852094:QAX852094 QKP852094:QKT852094 QUL852094:QUP852094 REH852094:REL852094 ROD852094:ROH852094 RXZ852094:RYD852094 SHV852094:SHZ852094 SRR852094:SRV852094 TBN852094:TBR852094 TLJ852094:TLN852094 TVF852094:TVJ852094 UFB852094:UFF852094 UOX852094:UPB852094 UYT852094:UYX852094 VIP852094:VIT852094 VSL852094:VSP852094 WCH852094:WCL852094 WMD852094:WMH852094 WVZ852094:WWD852094 R917630:V917630 JN917630:JR917630 TJ917630:TN917630 ADF917630:ADJ917630 ANB917630:ANF917630 AWX917630:AXB917630 BGT917630:BGX917630 BQP917630:BQT917630 CAL917630:CAP917630 CKH917630:CKL917630 CUD917630:CUH917630 DDZ917630:DED917630 DNV917630:DNZ917630 DXR917630:DXV917630 EHN917630:EHR917630 ERJ917630:ERN917630 FBF917630:FBJ917630 FLB917630:FLF917630 FUX917630:FVB917630 GET917630:GEX917630 GOP917630:GOT917630 GYL917630:GYP917630 HIH917630:HIL917630 HSD917630:HSH917630 IBZ917630:ICD917630 ILV917630:ILZ917630 IVR917630:IVV917630 JFN917630:JFR917630 JPJ917630:JPN917630 JZF917630:JZJ917630 KJB917630:KJF917630 KSX917630:KTB917630 LCT917630:LCX917630 LMP917630:LMT917630 LWL917630:LWP917630 MGH917630:MGL917630 MQD917630:MQH917630 MZZ917630:NAD917630 NJV917630:NJZ917630 NTR917630:NTV917630 ODN917630:ODR917630 ONJ917630:ONN917630 OXF917630:OXJ917630 PHB917630:PHF917630 PQX917630:PRB917630 QAT917630:QAX917630 QKP917630:QKT917630 QUL917630:QUP917630 REH917630:REL917630 ROD917630:ROH917630 RXZ917630:RYD917630 SHV917630:SHZ917630 SRR917630:SRV917630 TBN917630:TBR917630 TLJ917630:TLN917630 TVF917630:TVJ917630 UFB917630:UFF917630 UOX917630:UPB917630 UYT917630:UYX917630 VIP917630:VIT917630 VSL917630:VSP917630 WCH917630:WCL917630 WMD917630:WMH917630 WVZ917630:WWD917630 R983166:V983166 JN983166:JR983166 TJ983166:TN983166 ADF983166:ADJ983166 ANB983166:ANF983166 AWX983166:AXB983166 BGT983166:BGX983166 BQP983166:BQT983166 CAL983166:CAP983166 CKH983166:CKL983166 CUD983166:CUH983166 DDZ983166:DED983166 DNV983166:DNZ983166 DXR983166:DXV983166 EHN983166:EHR983166 ERJ983166:ERN983166 FBF983166:FBJ983166 FLB983166:FLF983166 FUX983166:FVB983166 GET983166:GEX983166 GOP983166:GOT983166 GYL983166:GYP983166 HIH983166:HIL983166 HSD983166:HSH983166 IBZ983166:ICD983166 ILV983166:ILZ983166 IVR983166:IVV983166 JFN983166:JFR983166 JPJ983166:JPN983166 JZF983166:JZJ983166 KJB983166:KJF983166 KSX983166:KTB983166 LCT983166:LCX983166 LMP983166:LMT983166 LWL983166:LWP983166 MGH983166:MGL983166 MQD983166:MQH983166 MZZ983166:NAD983166 NJV983166:NJZ983166 NTR983166:NTV983166 ODN983166:ODR983166 ONJ983166:ONN983166 OXF983166:OXJ983166 PHB983166:PHF983166 PQX983166:PRB983166 QAT983166:QAX983166 QKP983166:QKT983166 QUL983166:QUP983166 REH983166:REL983166 ROD983166:ROH983166 RXZ983166:RYD983166 SHV983166:SHZ983166 SRR983166:SRV983166 TBN983166:TBR983166 TLJ983166:TLN983166 TVF983166:TVJ983166 UFB983166:UFF983166 UOX983166:UPB983166 UYT983166:UYX983166 VIP983166:VIT983166 VSL983166:VSP983166 WCH983166:WCL983166 WMD983166:WMH983166 WVZ983166:WWD983166 J142 JF142 TB142 ACX142 AMT142 AWP142 BGL142 BQH142 CAD142 CJZ142 CTV142 DDR142 DNN142 DXJ142 EHF142 ERB142 FAX142 FKT142 FUP142 GEL142 GOH142 GYD142 HHZ142 HRV142 IBR142 ILN142 IVJ142 JFF142 JPB142 JYX142 KIT142 KSP142 LCL142 LMH142 LWD142 MFZ142 MPV142 MZR142 NJN142 NTJ142 ODF142 ONB142 OWX142 PGT142 PQP142 QAL142 QKH142 QUD142 RDZ142 RNV142 RXR142 SHN142 SRJ142 TBF142 TLB142 TUX142 UET142 UOP142 UYL142 VIH142 VSD142 WBZ142 WLV142 WVR142 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G141:W141 JC141:JS141 SY141:TO141 ACU141:ADK141 AMQ141:ANG141 AWM141:AXC141 BGI141:BGY141 BQE141:BQU141 CAA141:CAQ141 CJW141:CKM141 CTS141:CUI141 DDO141:DEE141 DNK141:DOA141 DXG141:DXW141 EHC141:EHS141 EQY141:ERO141 FAU141:FBK141 FKQ141:FLG141 FUM141:FVC141 GEI141:GEY141 GOE141:GOU141 GYA141:GYQ141 HHW141:HIM141 HRS141:HSI141 IBO141:ICE141 ILK141:IMA141 IVG141:IVW141 JFC141:JFS141 JOY141:JPO141 JYU141:JZK141 KIQ141:KJG141 KSM141:KTC141 LCI141:LCY141 LME141:LMU141 LWA141:LWQ141 MFW141:MGM141 MPS141:MQI141 MZO141:NAE141 NJK141:NKA141 NTG141:NTW141 ODC141:ODS141 OMY141:ONO141 OWU141:OXK141 PGQ141:PHG141 PQM141:PRC141 QAI141:QAY141 QKE141:QKU141 QUA141:QUQ141 RDW141:REM141 RNS141:ROI141 RXO141:RYE141 SHK141:SIA141 SRG141:SRW141 TBC141:TBS141 TKY141:TLO141 TUU141:TVK141 UEQ141:UFG141 UOM141:UPC141 UYI141:UYY141 VIE141:VIU141 VSA141:VSQ141 WBW141:WCM141 WLS141:WMI141 WVO141:WWE141 G65677:W65677 JC65677:JS65677 SY65677:TO65677 ACU65677:ADK65677 AMQ65677:ANG65677 AWM65677:AXC65677 BGI65677:BGY65677 BQE65677:BQU65677 CAA65677:CAQ65677 CJW65677:CKM65677 CTS65677:CUI65677 DDO65677:DEE65677 DNK65677:DOA65677 DXG65677:DXW65677 EHC65677:EHS65677 EQY65677:ERO65677 FAU65677:FBK65677 FKQ65677:FLG65677 FUM65677:FVC65677 GEI65677:GEY65677 GOE65677:GOU65677 GYA65677:GYQ65677 HHW65677:HIM65677 HRS65677:HSI65677 IBO65677:ICE65677 ILK65677:IMA65677 IVG65677:IVW65677 JFC65677:JFS65677 JOY65677:JPO65677 JYU65677:JZK65677 KIQ65677:KJG65677 KSM65677:KTC65677 LCI65677:LCY65677 LME65677:LMU65677 LWA65677:LWQ65677 MFW65677:MGM65677 MPS65677:MQI65677 MZO65677:NAE65677 NJK65677:NKA65677 NTG65677:NTW65677 ODC65677:ODS65677 OMY65677:ONO65677 OWU65677:OXK65677 PGQ65677:PHG65677 PQM65677:PRC65677 QAI65677:QAY65677 QKE65677:QKU65677 QUA65677:QUQ65677 RDW65677:REM65677 RNS65677:ROI65677 RXO65677:RYE65677 SHK65677:SIA65677 SRG65677:SRW65677 TBC65677:TBS65677 TKY65677:TLO65677 TUU65677:TVK65677 UEQ65677:UFG65677 UOM65677:UPC65677 UYI65677:UYY65677 VIE65677:VIU65677 VSA65677:VSQ65677 WBW65677:WCM65677 WLS65677:WMI65677 WVO65677:WWE65677 G131213:W131213 JC131213:JS131213 SY131213:TO131213 ACU131213:ADK131213 AMQ131213:ANG131213 AWM131213:AXC131213 BGI131213:BGY131213 BQE131213:BQU131213 CAA131213:CAQ131213 CJW131213:CKM131213 CTS131213:CUI131213 DDO131213:DEE131213 DNK131213:DOA131213 DXG131213:DXW131213 EHC131213:EHS131213 EQY131213:ERO131213 FAU131213:FBK131213 FKQ131213:FLG131213 FUM131213:FVC131213 GEI131213:GEY131213 GOE131213:GOU131213 GYA131213:GYQ131213 HHW131213:HIM131213 HRS131213:HSI131213 IBO131213:ICE131213 ILK131213:IMA131213 IVG131213:IVW131213 JFC131213:JFS131213 JOY131213:JPO131213 JYU131213:JZK131213 KIQ131213:KJG131213 KSM131213:KTC131213 LCI131213:LCY131213 LME131213:LMU131213 LWA131213:LWQ131213 MFW131213:MGM131213 MPS131213:MQI131213 MZO131213:NAE131213 NJK131213:NKA131213 NTG131213:NTW131213 ODC131213:ODS131213 OMY131213:ONO131213 OWU131213:OXK131213 PGQ131213:PHG131213 PQM131213:PRC131213 QAI131213:QAY131213 QKE131213:QKU131213 QUA131213:QUQ131213 RDW131213:REM131213 RNS131213:ROI131213 RXO131213:RYE131213 SHK131213:SIA131213 SRG131213:SRW131213 TBC131213:TBS131213 TKY131213:TLO131213 TUU131213:TVK131213 UEQ131213:UFG131213 UOM131213:UPC131213 UYI131213:UYY131213 VIE131213:VIU131213 VSA131213:VSQ131213 WBW131213:WCM131213 WLS131213:WMI131213 WVO131213:WWE131213 G196749:W196749 JC196749:JS196749 SY196749:TO196749 ACU196749:ADK196749 AMQ196749:ANG196749 AWM196749:AXC196749 BGI196749:BGY196749 BQE196749:BQU196749 CAA196749:CAQ196749 CJW196749:CKM196749 CTS196749:CUI196749 DDO196749:DEE196749 DNK196749:DOA196749 DXG196749:DXW196749 EHC196749:EHS196749 EQY196749:ERO196749 FAU196749:FBK196749 FKQ196749:FLG196749 FUM196749:FVC196749 GEI196749:GEY196749 GOE196749:GOU196749 GYA196749:GYQ196749 HHW196749:HIM196749 HRS196749:HSI196749 IBO196749:ICE196749 ILK196749:IMA196749 IVG196749:IVW196749 JFC196749:JFS196749 JOY196749:JPO196749 JYU196749:JZK196749 KIQ196749:KJG196749 KSM196749:KTC196749 LCI196749:LCY196749 LME196749:LMU196749 LWA196749:LWQ196749 MFW196749:MGM196749 MPS196749:MQI196749 MZO196749:NAE196749 NJK196749:NKA196749 NTG196749:NTW196749 ODC196749:ODS196749 OMY196749:ONO196749 OWU196749:OXK196749 PGQ196749:PHG196749 PQM196749:PRC196749 QAI196749:QAY196749 QKE196749:QKU196749 QUA196749:QUQ196749 RDW196749:REM196749 RNS196749:ROI196749 RXO196749:RYE196749 SHK196749:SIA196749 SRG196749:SRW196749 TBC196749:TBS196749 TKY196749:TLO196749 TUU196749:TVK196749 UEQ196749:UFG196749 UOM196749:UPC196749 UYI196749:UYY196749 VIE196749:VIU196749 VSA196749:VSQ196749 WBW196749:WCM196749 WLS196749:WMI196749 WVO196749:WWE196749 G262285:W262285 JC262285:JS262285 SY262285:TO262285 ACU262285:ADK262285 AMQ262285:ANG262285 AWM262285:AXC262285 BGI262285:BGY262285 BQE262285:BQU262285 CAA262285:CAQ262285 CJW262285:CKM262285 CTS262285:CUI262285 DDO262285:DEE262285 DNK262285:DOA262285 DXG262285:DXW262285 EHC262285:EHS262285 EQY262285:ERO262285 FAU262285:FBK262285 FKQ262285:FLG262285 FUM262285:FVC262285 GEI262285:GEY262285 GOE262285:GOU262285 GYA262285:GYQ262285 HHW262285:HIM262285 HRS262285:HSI262285 IBO262285:ICE262285 ILK262285:IMA262285 IVG262285:IVW262285 JFC262285:JFS262285 JOY262285:JPO262285 JYU262285:JZK262285 KIQ262285:KJG262285 KSM262285:KTC262285 LCI262285:LCY262285 LME262285:LMU262285 LWA262285:LWQ262285 MFW262285:MGM262285 MPS262285:MQI262285 MZO262285:NAE262285 NJK262285:NKA262285 NTG262285:NTW262285 ODC262285:ODS262285 OMY262285:ONO262285 OWU262285:OXK262285 PGQ262285:PHG262285 PQM262285:PRC262285 QAI262285:QAY262285 QKE262285:QKU262285 QUA262285:QUQ262285 RDW262285:REM262285 RNS262285:ROI262285 RXO262285:RYE262285 SHK262285:SIA262285 SRG262285:SRW262285 TBC262285:TBS262285 TKY262285:TLO262285 TUU262285:TVK262285 UEQ262285:UFG262285 UOM262285:UPC262285 UYI262285:UYY262285 VIE262285:VIU262285 VSA262285:VSQ262285 WBW262285:WCM262285 WLS262285:WMI262285 WVO262285:WWE262285 G327821:W327821 JC327821:JS327821 SY327821:TO327821 ACU327821:ADK327821 AMQ327821:ANG327821 AWM327821:AXC327821 BGI327821:BGY327821 BQE327821:BQU327821 CAA327821:CAQ327821 CJW327821:CKM327821 CTS327821:CUI327821 DDO327821:DEE327821 DNK327821:DOA327821 DXG327821:DXW327821 EHC327821:EHS327821 EQY327821:ERO327821 FAU327821:FBK327821 FKQ327821:FLG327821 FUM327821:FVC327821 GEI327821:GEY327821 GOE327821:GOU327821 GYA327821:GYQ327821 HHW327821:HIM327821 HRS327821:HSI327821 IBO327821:ICE327821 ILK327821:IMA327821 IVG327821:IVW327821 JFC327821:JFS327821 JOY327821:JPO327821 JYU327821:JZK327821 KIQ327821:KJG327821 KSM327821:KTC327821 LCI327821:LCY327821 LME327821:LMU327821 LWA327821:LWQ327821 MFW327821:MGM327821 MPS327821:MQI327821 MZO327821:NAE327821 NJK327821:NKA327821 NTG327821:NTW327821 ODC327821:ODS327821 OMY327821:ONO327821 OWU327821:OXK327821 PGQ327821:PHG327821 PQM327821:PRC327821 QAI327821:QAY327821 QKE327821:QKU327821 QUA327821:QUQ327821 RDW327821:REM327821 RNS327821:ROI327821 RXO327821:RYE327821 SHK327821:SIA327821 SRG327821:SRW327821 TBC327821:TBS327821 TKY327821:TLO327821 TUU327821:TVK327821 UEQ327821:UFG327821 UOM327821:UPC327821 UYI327821:UYY327821 VIE327821:VIU327821 VSA327821:VSQ327821 WBW327821:WCM327821 WLS327821:WMI327821 WVO327821:WWE327821 G393357:W393357 JC393357:JS393357 SY393357:TO393357 ACU393357:ADK393357 AMQ393357:ANG393357 AWM393357:AXC393357 BGI393357:BGY393357 BQE393357:BQU393357 CAA393357:CAQ393357 CJW393357:CKM393357 CTS393357:CUI393357 DDO393357:DEE393357 DNK393357:DOA393357 DXG393357:DXW393357 EHC393357:EHS393357 EQY393357:ERO393357 FAU393357:FBK393357 FKQ393357:FLG393357 FUM393357:FVC393357 GEI393357:GEY393357 GOE393357:GOU393357 GYA393357:GYQ393357 HHW393357:HIM393357 HRS393357:HSI393357 IBO393357:ICE393357 ILK393357:IMA393357 IVG393357:IVW393357 JFC393357:JFS393357 JOY393357:JPO393357 JYU393357:JZK393357 KIQ393357:KJG393357 KSM393357:KTC393357 LCI393357:LCY393357 LME393357:LMU393357 LWA393357:LWQ393357 MFW393357:MGM393357 MPS393357:MQI393357 MZO393357:NAE393357 NJK393357:NKA393357 NTG393357:NTW393357 ODC393357:ODS393357 OMY393357:ONO393357 OWU393357:OXK393357 PGQ393357:PHG393357 PQM393357:PRC393357 QAI393357:QAY393357 QKE393357:QKU393357 QUA393357:QUQ393357 RDW393357:REM393357 RNS393357:ROI393357 RXO393357:RYE393357 SHK393357:SIA393357 SRG393357:SRW393357 TBC393357:TBS393357 TKY393357:TLO393357 TUU393357:TVK393357 UEQ393357:UFG393357 UOM393357:UPC393357 UYI393357:UYY393357 VIE393357:VIU393357 VSA393357:VSQ393357 WBW393357:WCM393357 WLS393357:WMI393357 WVO393357:WWE393357 G458893:W458893 JC458893:JS458893 SY458893:TO458893 ACU458893:ADK458893 AMQ458893:ANG458893 AWM458893:AXC458893 BGI458893:BGY458893 BQE458893:BQU458893 CAA458893:CAQ458893 CJW458893:CKM458893 CTS458893:CUI458893 DDO458893:DEE458893 DNK458893:DOA458893 DXG458893:DXW458893 EHC458893:EHS458893 EQY458893:ERO458893 FAU458893:FBK458893 FKQ458893:FLG458893 FUM458893:FVC458893 GEI458893:GEY458893 GOE458893:GOU458893 GYA458893:GYQ458893 HHW458893:HIM458893 HRS458893:HSI458893 IBO458893:ICE458893 ILK458893:IMA458893 IVG458893:IVW458893 JFC458893:JFS458893 JOY458893:JPO458893 JYU458893:JZK458893 KIQ458893:KJG458893 KSM458893:KTC458893 LCI458893:LCY458893 LME458893:LMU458893 LWA458893:LWQ458893 MFW458893:MGM458893 MPS458893:MQI458893 MZO458893:NAE458893 NJK458893:NKA458893 NTG458893:NTW458893 ODC458893:ODS458893 OMY458893:ONO458893 OWU458893:OXK458893 PGQ458893:PHG458893 PQM458893:PRC458893 QAI458893:QAY458893 QKE458893:QKU458893 QUA458893:QUQ458893 RDW458893:REM458893 RNS458893:ROI458893 RXO458893:RYE458893 SHK458893:SIA458893 SRG458893:SRW458893 TBC458893:TBS458893 TKY458893:TLO458893 TUU458893:TVK458893 UEQ458893:UFG458893 UOM458893:UPC458893 UYI458893:UYY458893 VIE458893:VIU458893 VSA458893:VSQ458893 WBW458893:WCM458893 WLS458893:WMI458893 WVO458893:WWE458893 G524429:W524429 JC524429:JS524429 SY524429:TO524429 ACU524429:ADK524429 AMQ524429:ANG524429 AWM524429:AXC524429 BGI524429:BGY524429 BQE524429:BQU524429 CAA524429:CAQ524429 CJW524429:CKM524429 CTS524429:CUI524429 DDO524429:DEE524429 DNK524429:DOA524429 DXG524429:DXW524429 EHC524429:EHS524429 EQY524429:ERO524429 FAU524429:FBK524429 FKQ524429:FLG524429 FUM524429:FVC524429 GEI524429:GEY524429 GOE524429:GOU524429 GYA524429:GYQ524429 HHW524429:HIM524429 HRS524429:HSI524429 IBO524429:ICE524429 ILK524429:IMA524429 IVG524429:IVW524429 JFC524429:JFS524429 JOY524429:JPO524429 JYU524429:JZK524429 KIQ524429:KJG524429 KSM524429:KTC524429 LCI524429:LCY524429 LME524429:LMU524429 LWA524429:LWQ524429 MFW524429:MGM524429 MPS524429:MQI524429 MZO524429:NAE524429 NJK524429:NKA524429 NTG524429:NTW524429 ODC524429:ODS524429 OMY524429:ONO524429 OWU524429:OXK524429 PGQ524429:PHG524429 PQM524429:PRC524429 QAI524429:QAY524429 QKE524429:QKU524429 QUA524429:QUQ524429 RDW524429:REM524429 RNS524429:ROI524429 RXO524429:RYE524429 SHK524429:SIA524429 SRG524429:SRW524429 TBC524429:TBS524429 TKY524429:TLO524429 TUU524429:TVK524429 UEQ524429:UFG524429 UOM524429:UPC524429 UYI524429:UYY524429 VIE524429:VIU524429 VSA524429:VSQ524429 WBW524429:WCM524429 WLS524429:WMI524429 WVO524429:WWE524429 G589965:W589965 JC589965:JS589965 SY589965:TO589965 ACU589965:ADK589965 AMQ589965:ANG589965 AWM589965:AXC589965 BGI589965:BGY589965 BQE589965:BQU589965 CAA589965:CAQ589965 CJW589965:CKM589965 CTS589965:CUI589965 DDO589965:DEE589965 DNK589965:DOA589965 DXG589965:DXW589965 EHC589965:EHS589965 EQY589965:ERO589965 FAU589965:FBK589965 FKQ589965:FLG589965 FUM589965:FVC589965 GEI589965:GEY589965 GOE589965:GOU589965 GYA589965:GYQ589965 HHW589965:HIM589965 HRS589965:HSI589965 IBO589965:ICE589965 ILK589965:IMA589965 IVG589965:IVW589965 JFC589965:JFS589965 JOY589965:JPO589965 JYU589965:JZK589965 KIQ589965:KJG589965 KSM589965:KTC589965 LCI589965:LCY589965 LME589965:LMU589965 LWA589965:LWQ589965 MFW589965:MGM589965 MPS589965:MQI589965 MZO589965:NAE589965 NJK589965:NKA589965 NTG589965:NTW589965 ODC589965:ODS589965 OMY589965:ONO589965 OWU589965:OXK589965 PGQ589965:PHG589965 PQM589965:PRC589965 QAI589965:QAY589965 QKE589965:QKU589965 QUA589965:QUQ589965 RDW589965:REM589965 RNS589965:ROI589965 RXO589965:RYE589965 SHK589965:SIA589965 SRG589965:SRW589965 TBC589965:TBS589965 TKY589965:TLO589965 TUU589965:TVK589965 UEQ589965:UFG589965 UOM589965:UPC589965 UYI589965:UYY589965 VIE589965:VIU589965 VSA589965:VSQ589965 WBW589965:WCM589965 WLS589965:WMI589965 WVO589965:WWE589965 G655501:W655501 JC655501:JS655501 SY655501:TO655501 ACU655501:ADK655501 AMQ655501:ANG655501 AWM655501:AXC655501 BGI655501:BGY655501 BQE655501:BQU655501 CAA655501:CAQ655501 CJW655501:CKM655501 CTS655501:CUI655501 DDO655501:DEE655501 DNK655501:DOA655501 DXG655501:DXW655501 EHC655501:EHS655501 EQY655501:ERO655501 FAU655501:FBK655501 FKQ655501:FLG655501 FUM655501:FVC655501 GEI655501:GEY655501 GOE655501:GOU655501 GYA655501:GYQ655501 HHW655501:HIM655501 HRS655501:HSI655501 IBO655501:ICE655501 ILK655501:IMA655501 IVG655501:IVW655501 JFC655501:JFS655501 JOY655501:JPO655501 JYU655501:JZK655501 KIQ655501:KJG655501 KSM655501:KTC655501 LCI655501:LCY655501 LME655501:LMU655501 LWA655501:LWQ655501 MFW655501:MGM655501 MPS655501:MQI655501 MZO655501:NAE655501 NJK655501:NKA655501 NTG655501:NTW655501 ODC655501:ODS655501 OMY655501:ONO655501 OWU655501:OXK655501 PGQ655501:PHG655501 PQM655501:PRC655501 QAI655501:QAY655501 QKE655501:QKU655501 QUA655501:QUQ655501 RDW655501:REM655501 RNS655501:ROI655501 RXO655501:RYE655501 SHK655501:SIA655501 SRG655501:SRW655501 TBC655501:TBS655501 TKY655501:TLO655501 TUU655501:TVK655501 UEQ655501:UFG655501 UOM655501:UPC655501 UYI655501:UYY655501 VIE655501:VIU655501 VSA655501:VSQ655501 WBW655501:WCM655501 WLS655501:WMI655501 WVO655501:WWE655501 G721037:W721037 JC721037:JS721037 SY721037:TO721037 ACU721037:ADK721037 AMQ721037:ANG721037 AWM721037:AXC721037 BGI721037:BGY721037 BQE721037:BQU721037 CAA721037:CAQ721037 CJW721037:CKM721037 CTS721037:CUI721037 DDO721037:DEE721037 DNK721037:DOA721037 DXG721037:DXW721037 EHC721037:EHS721037 EQY721037:ERO721037 FAU721037:FBK721037 FKQ721037:FLG721037 FUM721037:FVC721037 GEI721037:GEY721037 GOE721037:GOU721037 GYA721037:GYQ721037 HHW721037:HIM721037 HRS721037:HSI721037 IBO721037:ICE721037 ILK721037:IMA721037 IVG721037:IVW721037 JFC721037:JFS721037 JOY721037:JPO721037 JYU721037:JZK721037 KIQ721037:KJG721037 KSM721037:KTC721037 LCI721037:LCY721037 LME721037:LMU721037 LWA721037:LWQ721037 MFW721037:MGM721037 MPS721037:MQI721037 MZO721037:NAE721037 NJK721037:NKA721037 NTG721037:NTW721037 ODC721037:ODS721037 OMY721037:ONO721037 OWU721037:OXK721037 PGQ721037:PHG721037 PQM721037:PRC721037 QAI721037:QAY721037 QKE721037:QKU721037 QUA721037:QUQ721037 RDW721037:REM721037 RNS721037:ROI721037 RXO721037:RYE721037 SHK721037:SIA721037 SRG721037:SRW721037 TBC721037:TBS721037 TKY721037:TLO721037 TUU721037:TVK721037 UEQ721037:UFG721037 UOM721037:UPC721037 UYI721037:UYY721037 VIE721037:VIU721037 VSA721037:VSQ721037 WBW721037:WCM721037 WLS721037:WMI721037 WVO721037:WWE721037 G786573:W786573 JC786573:JS786573 SY786573:TO786573 ACU786573:ADK786573 AMQ786573:ANG786573 AWM786573:AXC786573 BGI786573:BGY786573 BQE786573:BQU786573 CAA786573:CAQ786573 CJW786573:CKM786573 CTS786573:CUI786573 DDO786573:DEE786573 DNK786573:DOA786573 DXG786573:DXW786573 EHC786573:EHS786573 EQY786573:ERO786573 FAU786573:FBK786573 FKQ786573:FLG786573 FUM786573:FVC786573 GEI786573:GEY786573 GOE786573:GOU786573 GYA786573:GYQ786573 HHW786573:HIM786573 HRS786573:HSI786573 IBO786573:ICE786573 ILK786573:IMA786573 IVG786573:IVW786573 JFC786573:JFS786573 JOY786573:JPO786573 JYU786573:JZK786573 KIQ786573:KJG786573 KSM786573:KTC786573 LCI786573:LCY786573 LME786573:LMU786573 LWA786573:LWQ786573 MFW786573:MGM786573 MPS786573:MQI786573 MZO786573:NAE786573 NJK786573:NKA786573 NTG786573:NTW786573 ODC786573:ODS786573 OMY786573:ONO786573 OWU786573:OXK786573 PGQ786573:PHG786573 PQM786573:PRC786573 QAI786573:QAY786573 QKE786573:QKU786573 QUA786573:QUQ786573 RDW786573:REM786573 RNS786573:ROI786573 RXO786573:RYE786573 SHK786573:SIA786573 SRG786573:SRW786573 TBC786573:TBS786573 TKY786573:TLO786573 TUU786573:TVK786573 UEQ786573:UFG786573 UOM786573:UPC786573 UYI786573:UYY786573 VIE786573:VIU786573 VSA786573:VSQ786573 WBW786573:WCM786573 WLS786573:WMI786573 WVO786573:WWE786573 G852109:W852109 JC852109:JS852109 SY852109:TO852109 ACU852109:ADK852109 AMQ852109:ANG852109 AWM852109:AXC852109 BGI852109:BGY852109 BQE852109:BQU852109 CAA852109:CAQ852109 CJW852109:CKM852109 CTS852109:CUI852109 DDO852109:DEE852109 DNK852109:DOA852109 DXG852109:DXW852109 EHC852109:EHS852109 EQY852109:ERO852109 FAU852109:FBK852109 FKQ852109:FLG852109 FUM852109:FVC852109 GEI852109:GEY852109 GOE852109:GOU852109 GYA852109:GYQ852109 HHW852109:HIM852109 HRS852109:HSI852109 IBO852109:ICE852109 ILK852109:IMA852109 IVG852109:IVW852109 JFC852109:JFS852109 JOY852109:JPO852109 JYU852109:JZK852109 KIQ852109:KJG852109 KSM852109:KTC852109 LCI852109:LCY852109 LME852109:LMU852109 LWA852109:LWQ852109 MFW852109:MGM852109 MPS852109:MQI852109 MZO852109:NAE852109 NJK852109:NKA852109 NTG852109:NTW852109 ODC852109:ODS852109 OMY852109:ONO852109 OWU852109:OXK852109 PGQ852109:PHG852109 PQM852109:PRC852109 QAI852109:QAY852109 QKE852109:QKU852109 QUA852109:QUQ852109 RDW852109:REM852109 RNS852109:ROI852109 RXO852109:RYE852109 SHK852109:SIA852109 SRG852109:SRW852109 TBC852109:TBS852109 TKY852109:TLO852109 TUU852109:TVK852109 UEQ852109:UFG852109 UOM852109:UPC852109 UYI852109:UYY852109 VIE852109:VIU852109 VSA852109:VSQ852109 WBW852109:WCM852109 WLS852109:WMI852109 WVO852109:WWE852109 G917645:W917645 JC917645:JS917645 SY917645:TO917645 ACU917645:ADK917645 AMQ917645:ANG917645 AWM917645:AXC917645 BGI917645:BGY917645 BQE917645:BQU917645 CAA917645:CAQ917645 CJW917645:CKM917645 CTS917645:CUI917645 DDO917645:DEE917645 DNK917645:DOA917645 DXG917645:DXW917645 EHC917645:EHS917645 EQY917645:ERO917645 FAU917645:FBK917645 FKQ917645:FLG917645 FUM917645:FVC917645 GEI917645:GEY917645 GOE917645:GOU917645 GYA917645:GYQ917645 HHW917645:HIM917645 HRS917645:HSI917645 IBO917645:ICE917645 ILK917645:IMA917645 IVG917645:IVW917645 JFC917645:JFS917645 JOY917645:JPO917645 JYU917645:JZK917645 KIQ917645:KJG917645 KSM917645:KTC917645 LCI917645:LCY917645 LME917645:LMU917645 LWA917645:LWQ917645 MFW917645:MGM917645 MPS917645:MQI917645 MZO917645:NAE917645 NJK917645:NKA917645 NTG917645:NTW917645 ODC917645:ODS917645 OMY917645:ONO917645 OWU917645:OXK917645 PGQ917645:PHG917645 PQM917645:PRC917645 QAI917645:QAY917645 QKE917645:QKU917645 QUA917645:QUQ917645 RDW917645:REM917645 RNS917645:ROI917645 RXO917645:RYE917645 SHK917645:SIA917645 SRG917645:SRW917645 TBC917645:TBS917645 TKY917645:TLO917645 TUU917645:TVK917645 UEQ917645:UFG917645 UOM917645:UPC917645 UYI917645:UYY917645 VIE917645:VIU917645 VSA917645:VSQ917645 WBW917645:WCM917645 WLS917645:WMI917645 WVO917645:WWE917645 G983181:W983181 JC983181:JS983181 SY983181:TO983181 ACU983181:ADK983181 AMQ983181:ANG983181 AWM983181:AXC983181 BGI983181:BGY983181 BQE983181:BQU983181 CAA983181:CAQ983181 CJW983181:CKM983181 CTS983181:CUI983181 DDO983181:DEE983181 DNK983181:DOA983181 DXG983181:DXW983181 EHC983181:EHS983181 EQY983181:ERO983181 FAU983181:FBK983181 FKQ983181:FLG983181 FUM983181:FVC983181 GEI983181:GEY983181 GOE983181:GOU983181 GYA983181:GYQ983181 HHW983181:HIM983181 HRS983181:HSI983181 IBO983181:ICE983181 ILK983181:IMA983181 IVG983181:IVW983181 JFC983181:JFS983181 JOY983181:JPO983181 JYU983181:JZK983181 KIQ983181:KJG983181 KSM983181:KTC983181 LCI983181:LCY983181 LME983181:LMU983181 LWA983181:LWQ983181 MFW983181:MGM983181 MPS983181:MQI983181 MZO983181:NAE983181 NJK983181:NKA983181 NTG983181:NTW983181 ODC983181:ODS983181 OMY983181:ONO983181 OWU983181:OXK983181 PGQ983181:PHG983181 PQM983181:PRC983181 QAI983181:QAY983181 QKE983181:QKU983181 QUA983181:QUQ983181 RDW983181:REM983181 RNS983181:ROI983181 RXO983181:RYE983181 SHK983181:SIA983181 SRG983181:SRW983181 TBC983181:TBS983181 TKY983181:TLO983181 TUU983181:TVK983181 UEQ983181:UFG983181 UOM983181:UPC983181 UYI983181:UYY983181 VIE983181:VIU983181 VSA983181:VSQ983181 WBW983181:WCM983181 WLS983181:WMI983181 WVO983181:WWE983181 Q134:V134 JM134:JR134 TI134:TN134 ADE134:ADJ134 ANA134:ANF134 AWW134:AXB134 BGS134:BGX134 BQO134:BQT134 CAK134:CAP134 CKG134:CKL134 CUC134:CUH134 DDY134:DED134 DNU134:DNZ134 DXQ134:DXV134 EHM134:EHR134 ERI134:ERN134 FBE134:FBJ134 FLA134:FLF134 FUW134:FVB134 GES134:GEX134 GOO134:GOT134 GYK134:GYP134 HIG134:HIL134 HSC134:HSH134 IBY134:ICD134 ILU134:ILZ134 IVQ134:IVV134 JFM134:JFR134 JPI134:JPN134 JZE134:JZJ134 KJA134:KJF134 KSW134:KTB134 LCS134:LCX134 LMO134:LMT134 LWK134:LWP134 MGG134:MGL134 MQC134:MQH134 MZY134:NAD134 NJU134:NJZ134 NTQ134:NTV134 ODM134:ODR134 ONI134:ONN134 OXE134:OXJ134 PHA134:PHF134 PQW134:PRB134 QAS134:QAX134 QKO134:QKT134 QUK134:QUP134 REG134:REL134 ROC134:ROH134 RXY134:RYD134 SHU134:SHZ134 SRQ134:SRV134 TBM134:TBR134 TLI134:TLN134 TVE134:TVJ134 UFA134:UFF134 UOW134:UPB134 UYS134:UYX134 VIO134:VIT134 VSK134:VSP134 WCG134:WCL134 WMC134:WMH134 WVY134:WWD134 Q65670:V65670 JM65670:JR65670 TI65670:TN65670 ADE65670:ADJ65670 ANA65670:ANF65670 AWW65670:AXB65670 BGS65670:BGX65670 BQO65670:BQT65670 CAK65670:CAP65670 CKG65670:CKL65670 CUC65670:CUH65670 DDY65670:DED65670 DNU65670:DNZ65670 DXQ65670:DXV65670 EHM65670:EHR65670 ERI65670:ERN65670 FBE65670:FBJ65670 FLA65670:FLF65670 FUW65670:FVB65670 GES65670:GEX65670 GOO65670:GOT65670 GYK65670:GYP65670 HIG65670:HIL65670 HSC65670:HSH65670 IBY65670:ICD65670 ILU65670:ILZ65670 IVQ65670:IVV65670 JFM65670:JFR65670 JPI65670:JPN65670 JZE65670:JZJ65670 KJA65670:KJF65670 KSW65670:KTB65670 LCS65670:LCX65670 LMO65670:LMT65670 LWK65670:LWP65670 MGG65670:MGL65670 MQC65670:MQH65670 MZY65670:NAD65670 NJU65670:NJZ65670 NTQ65670:NTV65670 ODM65670:ODR65670 ONI65670:ONN65670 OXE65670:OXJ65670 PHA65670:PHF65670 PQW65670:PRB65670 QAS65670:QAX65670 QKO65670:QKT65670 QUK65670:QUP65670 REG65670:REL65670 ROC65670:ROH65670 RXY65670:RYD65670 SHU65670:SHZ65670 SRQ65670:SRV65670 TBM65670:TBR65670 TLI65670:TLN65670 TVE65670:TVJ65670 UFA65670:UFF65670 UOW65670:UPB65670 UYS65670:UYX65670 VIO65670:VIT65670 VSK65670:VSP65670 WCG65670:WCL65670 WMC65670:WMH65670 WVY65670:WWD65670 Q131206:V131206 JM131206:JR131206 TI131206:TN131206 ADE131206:ADJ131206 ANA131206:ANF131206 AWW131206:AXB131206 BGS131206:BGX131206 BQO131206:BQT131206 CAK131206:CAP131206 CKG131206:CKL131206 CUC131206:CUH131206 DDY131206:DED131206 DNU131206:DNZ131206 DXQ131206:DXV131206 EHM131206:EHR131206 ERI131206:ERN131206 FBE131206:FBJ131206 FLA131206:FLF131206 FUW131206:FVB131206 GES131206:GEX131206 GOO131206:GOT131206 GYK131206:GYP131206 HIG131206:HIL131206 HSC131206:HSH131206 IBY131206:ICD131206 ILU131206:ILZ131206 IVQ131206:IVV131206 JFM131206:JFR131206 JPI131206:JPN131206 JZE131206:JZJ131206 KJA131206:KJF131206 KSW131206:KTB131206 LCS131206:LCX131206 LMO131206:LMT131206 LWK131206:LWP131206 MGG131206:MGL131206 MQC131206:MQH131206 MZY131206:NAD131206 NJU131206:NJZ131206 NTQ131206:NTV131206 ODM131206:ODR131206 ONI131206:ONN131206 OXE131206:OXJ131206 PHA131206:PHF131206 PQW131206:PRB131206 QAS131206:QAX131206 QKO131206:QKT131206 QUK131206:QUP131206 REG131206:REL131206 ROC131206:ROH131206 RXY131206:RYD131206 SHU131206:SHZ131206 SRQ131206:SRV131206 TBM131206:TBR131206 TLI131206:TLN131206 TVE131206:TVJ131206 UFA131206:UFF131206 UOW131206:UPB131206 UYS131206:UYX131206 VIO131206:VIT131206 VSK131206:VSP131206 WCG131206:WCL131206 WMC131206:WMH131206 WVY131206:WWD131206 Q196742:V196742 JM196742:JR196742 TI196742:TN196742 ADE196742:ADJ196742 ANA196742:ANF196742 AWW196742:AXB196742 BGS196742:BGX196742 BQO196742:BQT196742 CAK196742:CAP196742 CKG196742:CKL196742 CUC196742:CUH196742 DDY196742:DED196742 DNU196742:DNZ196742 DXQ196742:DXV196742 EHM196742:EHR196742 ERI196742:ERN196742 FBE196742:FBJ196742 FLA196742:FLF196742 FUW196742:FVB196742 GES196742:GEX196742 GOO196742:GOT196742 GYK196742:GYP196742 HIG196742:HIL196742 HSC196742:HSH196742 IBY196742:ICD196742 ILU196742:ILZ196742 IVQ196742:IVV196742 JFM196742:JFR196742 JPI196742:JPN196742 JZE196742:JZJ196742 KJA196742:KJF196742 KSW196742:KTB196742 LCS196742:LCX196742 LMO196742:LMT196742 LWK196742:LWP196742 MGG196742:MGL196742 MQC196742:MQH196742 MZY196742:NAD196742 NJU196742:NJZ196742 NTQ196742:NTV196742 ODM196742:ODR196742 ONI196742:ONN196742 OXE196742:OXJ196742 PHA196742:PHF196742 PQW196742:PRB196742 QAS196742:QAX196742 QKO196742:QKT196742 QUK196742:QUP196742 REG196742:REL196742 ROC196742:ROH196742 RXY196742:RYD196742 SHU196742:SHZ196742 SRQ196742:SRV196742 TBM196742:TBR196742 TLI196742:TLN196742 TVE196742:TVJ196742 UFA196742:UFF196742 UOW196742:UPB196742 UYS196742:UYX196742 VIO196742:VIT196742 VSK196742:VSP196742 WCG196742:WCL196742 WMC196742:WMH196742 WVY196742:WWD196742 Q262278:V262278 JM262278:JR262278 TI262278:TN262278 ADE262278:ADJ262278 ANA262278:ANF262278 AWW262278:AXB262278 BGS262278:BGX262278 BQO262278:BQT262278 CAK262278:CAP262278 CKG262278:CKL262278 CUC262278:CUH262278 DDY262278:DED262278 DNU262278:DNZ262278 DXQ262278:DXV262278 EHM262278:EHR262278 ERI262278:ERN262278 FBE262278:FBJ262278 FLA262278:FLF262278 FUW262278:FVB262278 GES262278:GEX262278 GOO262278:GOT262278 GYK262278:GYP262278 HIG262278:HIL262278 HSC262278:HSH262278 IBY262278:ICD262278 ILU262278:ILZ262278 IVQ262278:IVV262278 JFM262278:JFR262278 JPI262278:JPN262278 JZE262278:JZJ262278 KJA262278:KJF262278 KSW262278:KTB262278 LCS262278:LCX262278 LMO262278:LMT262278 LWK262278:LWP262278 MGG262278:MGL262278 MQC262278:MQH262278 MZY262278:NAD262278 NJU262278:NJZ262278 NTQ262278:NTV262278 ODM262278:ODR262278 ONI262278:ONN262278 OXE262278:OXJ262278 PHA262278:PHF262278 PQW262278:PRB262278 QAS262278:QAX262278 QKO262278:QKT262278 QUK262278:QUP262278 REG262278:REL262278 ROC262278:ROH262278 RXY262278:RYD262278 SHU262278:SHZ262278 SRQ262278:SRV262278 TBM262278:TBR262278 TLI262278:TLN262278 TVE262278:TVJ262278 UFA262278:UFF262278 UOW262278:UPB262278 UYS262278:UYX262278 VIO262278:VIT262278 VSK262278:VSP262278 WCG262278:WCL262278 WMC262278:WMH262278 WVY262278:WWD262278 Q327814:V327814 JM327814:JR327814 TI327814:TN327814 ADE327814:ADJ327814 ANA327814:ANF327814 AWW327814:AXB327814 BGS327814:BGX327814 BQO327814:BQT327814 CAK327814:CAP327814 CKG327814:CKL327814 CUC327814:CUH327814 DDY327814:DED327814 DNU327814:DNZ327814 DXQ327814:DXV327814 EHM327814:EHR327814 ERI327814:ERN327814 FBE327814:FBJ327814 FLA327814:FLF327814 FUW327814:FVB327814 GES327814:GEX327814 GOO327814:GOT327814 GYK327814:GYP327814 HIG327814:HIL327814 HSC327814:HSH327814 IBY327814:ICD327814 ILU327814:ILZ327814 IVQ327814:IVV327814 JFM327814:JFR327814 JPI327814:JPN327814 JZE327814:JZJ327814 KJA327814:KJF327814 KSW327814:KTB327814 LCS327814:LCX327814 LMO327814:LMT327814 LWK327814:LWP327814 MGG327814:MGL327814 MQC327814:MQH327814 MZY327814:NAD327814 NJU327814:NJZ327814 NTQ327814:NTV327814 ODM327814:ODR327814 ONI327814:ONN327814 OXE327814:OXJ327814 PHA327814:PHF327814 PQW327814:PRB327814 QAS327814:QAX327814 QKO327814:QKT327814 QUK327814:QUP327814 REG327814:REL327814 ROC327814:ROH327814 RXY327814:RYD327814 SHU327814:SHZ327814 SRQ327814:SRV327814 TBM327814:TBR327814 TLI327814:TLN327814 TVE327814:TVJ327814 UFA327814:UFF327814 UOW327814:UPB327814 UYS327814:UYX327814 VIO327814:VIT327814 VSK327814:VSP327814 WCG327814:WCL327814 WMC327814:WMH327814 WVY327814:WWD327814 Q393350:V393350 JM393350:JR393350 TI393350:TN393350 ADE393350:ADJ393350 ANA393350:ANF393350 AWW393350:AXB393350 BGS393350:BGX393350 BQO393350:BQT393350 CAK393350:CAP393350 CKG393350:CKL393350 CUC393350:CUH393350 DDY393350:DED393350 DNU393350:DNZ393350 DXQ393350:DXV393350 EHM393350:EHR393350 ERI393350:ERN393350 FBE393350:FBJ393350 FLA393350:FLF393350 FUW393350:FVB393350 GES393350:GEX393350 GOO393350:GOT393350 GYK393350:GYP393350 HIG393350:HIL393350 HSC393350:HSH393350 IBY393350:ICD393350 ILU393350:ILZ393350 IVQ393350:IVV393350 JFM393350:JFR393350 JPI393350:JPN393350 JZE393350:JZJ393350 KJA393350:KJF393350 KSW393350:KTB393350 LCS393350:LCX393350 LMO393350:LMT393350 LWK393350:LWP393350 MGG393350:MGL393350 MQC393350:MQH393350 MZY393350:NAD393350 NJU393350:NJZ393350 NTQ393350:NTV393350 ODM393350:ODR393350 ONI393350:ONN393350 OXE393350:OXJ393350 PHA393350:PHF393350 PQW393350:PRB393350 QAS393350:QAX393350 QKO393350:QKT393350 QUK393350:QUP393350 REG393350:REL393350 ROC393350:ROH393350 RXY393350:RYD393350 SHU393350:SHZ393350 SRQ393350:SRV393350 TBM393350:TBR393350 TLI393350:TLN393350 TVE393350:TVJ393350 UFA393350:UFF393350 UOW393350:UPB393350 UYS393350:UYX393350 VIO393350:VIT393350 VSK393350:VSP393350 WCG393350:WCL393350 WMC393350:WMH393350 WVY393350:WWD393350 Q458886:V458886 JM458886:JR458886 TI458886:TN458886 ADE458886:ADJ458886 ANA458886:ANF458886 AWW458886:AXB458886 BGS458886:BGX458886 BQO458886:BQT458886 CAK458886:CAP458886 CKG458886:CKL458886 CUC458886:CUH458886 DDY458886:DED458886 DNU458886:DNZ458886 DXQ458886:DXV458886 EHM458886:EHR458886 ERI458886:ERN458886 FBE458886:FBJ458886 FLA458886:FLF458886 FUW458886:FVB458886 GES458886:GEX458886 GOO458886:GOT458886 GYK458886:GYP458886 HIG458886:HIL458886 HSC458886:HSH458886 IBY458886:ICD458886 ILU458886:ILZ458886 IVQ458886:IVV458886 JFM458886:JFR458886 JPI458886:JPN458886 JZE458886:JZJ458886 KJA458886:KJF458886 KSW458886:KTB458886 LCS458886:LCX458886 LMO458886:LMT458886 LWK458886:LWP458886 MGG458886:MGL458886 MQC458886:MQH458886 MZY458886:NAD458886 NJU458886:NJZ458886 NTQ458886:NTV458886 ODM458886:ODR458886 ONI458886:ONN458886 OXE458886:OXJ458886 PHA458886:PHF458886 PQW458886:PRB458886 QAS458886:QAX458886 QKO458886:QKT458886 QUK458886:QUP458886 REG458886:REL458886 ROC458886:ROH458886 RXY458886:RYD458886 SHU458886:SHZ458886 SRQ458886:SRV458886 TBM458886:TBR458886 TLI458886:TLN458886 TVE458886:TVJ458886 UFA458886:UFF458886 UOW458886:UPB458886 UYS458886:UYX458886 VIO458886:VIT458886 VSK458886:VSP458886 WCG458886:WCL458886 WMC458886:WMH458886 WVY458886:WWD458886 Q524422:V524422 JM524422:JR524422 TI524422:TN524422 ADE524422:ADJ524422 ANA524422:ANF524422 AWW524422:AXB524422 BGS524422:BGX524422 BQO524422:BQT524422 CAK524422:CAP524422 CKG524422:CKL524422 CUC524422:CUH524422 DDY524422:DED524422 DNU524422:DNZ524422 DXQ524422:DXV524422 EHM524422:EHR524422 ERI524422:ERN524422 FBE524422:FBJ524422 FLA524422:FLF524422 FUW524422:FVB524422 GES524422:GEX524422 GOO524422:GOT524422 GYK524422:GYP524422 HIG524422:HIL524422 HSC524422:HSH524422 IBY524422:ICD524422 ILU524422:ILZ524422 IVQ524422:IVV524422 JFM524422:JFR524422 JPI524422:JPN524422 JZE524422:JZJ524422 KJA524422:KJF524422 KSW524422:KTB524422 LCS524422:LCX524422 LMO524422:LMT524422 LWK524422:LWP524422 MGG524422:MGL524422 MQC524422:MQH524422 MZY524422:NAD524422 NJU524422:NJZ524422 NTQ524422:NTV524422 ODM524422:ODR524422 ONI524422:ONN524422 OXE524422:OXJ524422 PHA524422:PHF524422 PQW524422:PRB524422 QAS524422:QAX524422 QKO524422:QKT524422 QUK524422:QUP524422 REG524422:REL524422 ROC524422:ROH524422 RXY524422:RYD524422 SHU524422:SHZ524422 SRQ524422:SRV524422 TBM524422:TBR524422 TLI524422:TLN524422 TVE524422:TVJ524422 UFA524422:UFF524422 UOW524422:UPB524422 UYS524422:UYX524422 VIO524422:VIT524422 VSK524422:VSP524422 WCG524422:WCL524422 WMC524422:WMH524422 WVY524422:WWD524422 Q589958:V589958 JM589958:JR589958 TI589958:TN589958 ADE589958:ADJ589958 ANA589958:ANF589958 AWW589958:AXB589958 BGS589958:BGX589958 BQO589958:BQT589958 CAK589958:CAP589958 CKG589958:CKL589958 CUC589958:CUH589958 DDY589958:DED589958 DNU589958:DNZ589958 DXQ589958:DXV589958 EHM589958:EHR589958 ERI589958:ERN589958 FBE589958:FBJ589958 FLA589958:FLF589958 FUW589958:FVB589958 GES589958:GEX589958 GOO589958:GOT589958 GYK589958:GYP589958 HIG589958:HIL589958 HSC589958:HSH589958 IBY589958:ICD589958 ILU589958:ILZ589958 IVQ589958:IVV589958 JFM589958:JFR589958 JPI589958:JPN589958 JZE589958:JZJ589958 KJA589958:KJF589958 KSW589958:KTB589958 LCS589958:LCX589958 LMO589958:LMT589958 LWK589958:LWP589958 MGG589958:MGL589958 MQC589958:MQH589958 MZY589958:NAD589958 NJU589958:NJZ589958 NTQ589958:NTV589958 ODM589958:ODR589958 ONI589958:ONN589958 OXE589958:OXJ589958 PHA589958:PHF589958 PQW589958:PRB589958 QAS589958:QAX589958 QKO589958:QKT589958 QUK589958:QUP589958 REG589958:REL589958 ROC589958:ROH589958 RXY589958:RYD589958 SHU589958:SHZ589958 SRQ589958:SRV589958 TBM589958:TBR589958 TLI589958:TLN589958 TVE589958:TVJ589958 UFA589958:UFF589958 UOW589958:UPB589958 UYS589958:UYX589958 VIO589958:VIT589958 VSK589958:VSP589958 WCG589958:WCL589958 WMC589958:WMH589958 WVY589958:WWD589958 Q655494:V655494 JM655494:JR655494 TI655494:TN655494 ADE655494:ADJ655494 ANA655494:ANF655494 AWW655494:AXB655494 BGS655494:BGX655494 BQO655494:BQT655494 CAK655494:CAP655494 CKG655494:CKL655494 CUC655494:CUH655494 DDY655494:DED655494 DNU655494:DNZ655494 DXQ655494:DXV655494 EHM655494:EHR655494 ERI655494:ERN655494 FBE655494:FBJ655494 FLA655494:FLF655494 FUW655494:FVB655494 GES655494:GEX655494 GOO655494:GOT655494 GYK655494:GYP655494 HIG655494:HIL655494 HSC655494:HSH655494 IBY655494:ICD655494 ILU655494:ILZ655494 IVQ655494:IVV655494 JFM655494:JFR655494 JPI655494:JPN655494 JZE655494:JZJ655494 KJA655494:KJF655494 KSW655494:KTB655494 LCS655494:LCX655494 LMO655494:LMT655494 LWK655494:LWP655494 MGG655494:MGL655494 MQC655494:MQH655494 MZY655494:NAD655494 NJU655494:NJZ655494 NTQ655494:NTV655494 ODM655494:ODR655494 ONI655494:ONN655494 OXE655494:OXJ655494 PHA655494:PHF655494 PQW655494:PRB655494 QAS655494:QAX655494 QKO655494:QKT655494 QUK655494:QUP655494 REG655494:REL655494 ROC655494:ROH655494 RXY655494:RYD655494 SHU655494:SHZ655494 SRQ655494:SRV655494 TBM655494:TBR655494 TLI655494:TLN655494 TVE655494:TVJ655494 UFA655494:UFF655494 UOW655494:UPB655494 UYS655494:UYX655494 VIO655494:VIT655494 VSK655494:VSP655494 WCG655494:WCL655494 WMC655494:WMH655494 WVY655494:WWD655494 Q721030:V721030 JM721030:JR721030 TI721030:TN721030 ADE721030:ADJ721030 ANA721030:ANF721030 AWW721030:AXB721030 BGS721030:BGX721030 BQO721030:BQT721030 CAK721030:CAP721030 CKG721030:CKL721030 CUC721030:CUH721030 DDY721030:DED721030 DNU721030:DNZ721030 DXQ721030:DXV721030 EHM721030:EHR721030 ERI721030:ERN721030 FBE721030:FBJ721030 FLA721030:FLF721030 FUW721030:FVB721030 GES721030:GEX721030 GOO721030:GOT721030 GYK721030:GYP721030 HIG721030:HIL721030 HSC721030:HSH721030 IBY721030:ICD721030 ILU721030:ILZ721030 IVQ721030:IVV721030 JFM721030:JFR721030 JPI721030:JPN721030 JZE721030:JZJ721030 KJA721030:KJF721030 KSW721030:KTB721030 LCS721030:LCX721030 LMO721030:LMT721030 LWK721030:LWP721030 MGG721030:MGL721030 MQC721030:MQH721030 MZY721030:NAD721030 NJU721030:NJZ721030 NTQ721030:NTV721030 ODM721030:ODR721030 ONI721030:ONN721030 OXE721030:OXJ721030 PHA721030:PHF721030 PQW721030:PRB721030 QAS721030:QAX721030 QKO721030:QKT721030 QUK721030:QUP721030 REG721030:REL721030 ROC721030:ROH721030 RXY721030:RYD721030 SHU721030:SHZ721030 SRQ721030:SRV721030 TBM721030:TBR721030 TLI721030:TLN721030 TVE721030:TVJ721030 UFA721030:UFF721030 UOW721030:UPB721030 UYS721030:UYX721030 VIO721030:VIT721030 VSK721030:VSP721030 WCG721030:WCL721030 WMC721030:WMH721030 WVY721030:WWD721030 Q786566:V786566 JM786566:JR786566 TI786566:TN786566 ADE786566:ADJ786566 ANA786566:ANF786566 AWW786566:AXB786566 BGS786566:BGX786566 BQO786566:BQT786566 CAK786566:CAP786566 CKG786566:CKL786566 CUC786566:CUH786566 DDY786566:DED786566 DNU786566:DNZ786566 DXQ786566:DXV786566 EHM786566:EHR786566 ERI786566:ERN786566 FBE786566:FBJ786566 FLA786566:FLF786566 FUW786566:FVB786566 GES786566:GEX786566 GOO786566:GOT786566 GYK786566:GYP786566 HIG786566:HIL786566 HSC786566:HSH786566 IBY786566:ICD786566 ILU786566:ILZ786566 IVQ786566:IVV786566 JFM786566:JFR786566 JPI786566:JPN786566 JZE786566:JZJ786566 KJA786566:KJF786566 KSW786566:KTB786566 LCS786566:LCX786566 LMO786566:LMT786566 LWK786566:LWP786566 MGG786566:MGL786566 MQC786566:MQH786566 MZY786566:NAD786566 NJU786566:NJZ786566 NTQ786566:NTV786566 ODM786566:ODR786566 ONI786566:ONN786566 OXE786566:OXJ786566 PHA786566:PHF786566 PQW786566:PRB786566 QAS786566:QAX786566 QKO786566:QKT786566 QUK786566:QUP786566 REG786566:REL786566 ROC786566:ROH786566 RXY786566:RYD786566 SHU786566:SHZ786566 SRQ786566:SRV786566 TBM786566:TBR786566 TLI786566:TLN786566 TVE786566:TVJ786566 UFA786566:UFF786566 UOW786566:UPB786566 UYS786566:UYX786566 VIO786566:VIT786566 VSK786566:VSP786566 WCG786566:WCL786566 WMC786566:WMH786566 WVY786566:WWD786566 Q852102:V852102 JM852102:JR852102 TI852102:TN852102 ADE852102:ADJ852102 ANA852102:ANF852102 AWW852102:AXB852102 BGS852102:BGX852102 BQO852102:BQT852102 CAK852102:CAP852102 CKG852102:CKL852102 CUC852102:CUH852102 DDY852102:DED852102 DNU852102:DNZ852102 DXQ852102:DXV852102 EHM852102:EHR852102 ERI852102:ERN852102 FBE852102:FBJ852102 FLA852102:FLF852102 FUW852102:FVB852102 GES852102:GEX852102 GOO852102:GOT852102 GYK852102:GYP852102 HIG852102:HIL852102 HSC852102:HSH852102 IBY852102:ICD852102 ILU852102:ILZ852102 IVQ852102:IVV852102 JFM852102:JFR852102 JPI852102:JPN852102 JZE852102:JZJ852102 KJA852102:KJF852102 KSW852102:KTB852102 LCS852102:LCX852102 LMO852102:LMT852102 LWK852102:LWP852102 MGG852102:MGL852102 MQC852102:MQH852102 MZY852102:NAD852102 NJU852102:NJZ852102 NTQ852102:NTV852102 ODM852102:ODR852102 ONI852102:ONN852102 OXE852102:OXJ852102 PHA852102:PHF852102 PQW852102:PRB852102 QAS852102:QAX852102 QKO852102:QKT852102 QUK852102:QUP852102 REG852102:REL852102 ROC852102:ROH852102 RXY852102:RYD852102 SHU852102:SHZ852102 SRQ852102:SRV852102 TBM852102:TBR852102 TLI852102:TLN852102 TVE852102:TVJ852102 UFA852102:UFF852102 UOW852102:UPB852102 UYS852102:UYX852102 VIO852102:VIT852102 VSK852102:VSP852102 WCG852102:WCL852102 WMC852102:WMH852102 WVY852102:WWD852102 Q917638:V917638 JM917638:JR917638 TI917638:TN917638 ADE917638:ADJ917638 ANA917638:ANF917638 AWW917638:AXB917638 BGS917638:BGX917638 BQO917638:BQT917638 CAK917638:CAP917638 CKG917638:CKL917638 CUC917638:CUH917638 DDY917638:DED917638 DNU917638:DNZ917638 DXQ917638:DXV917638 EHM917638:EHR917638 ERI917638:ERN917638 FBE917638:FBJ917638 FLA917638:FLF917638 FUW917638:FVB917638 GES917638:GEX917638 GOO917638:GOT917638 GYK917638:GYP917638 HIG917638:HIL917638 HSC917638:HSH917638 IBY917638:ICD917638 ILU917638:ILZ917638 IVQ917638:IVV917638 JFM917638:JFR917638 JPI917638:JPN917638 JZE917638:JZJ917638 KJA917638:KJF917638 KSW917638:KTB917638 LCS917638:LCX917638 LMO917638:LMT917638 LWK917638:LWP917638 MGG917638:MGL917638 MQC917638:MQH917638 MZY917638:NAD917638 NJU917638:NJZ917638 NTQ917638:NTV917638 ODM917638:ODR917638 ONI917638:ONN917638 OXE917638:OXJ917638 PHA917638:PHF917638 PQW917638:PRB917638 QAS917638:QAX917638 QKO917638:QKT917638 QUK917638:QUP917638 REG917638:REL917638 ROC917638:ROH917638 RXY917638:RYD917638 SHU917638:SHZ917638 SRQ917638:SRV917638 TBM917638:TBR917638 TLI917638:TLN917638 TVE917638:TVJ917638 UFA917638:UFF917638 UOW917638:UPB917638 UYS917638:UYX917638 VIO917638:VIT917638 VSK917638:VSP917638 WCG917638:WCL917638 WMC917638:WMH917638 WVY917638:WWD917638 Q983174:V983174 JM983174:JR983174 TI983174:TN983174 ADE983174:ADJ983174 ANA983174:ANF983174 AWW983174:AXB983174 BGS983174:BGX983174 BQO983174:BQT983174 CAK983174:CAP983174 CKG983174:CKL983174 CUC983174:CUH983174 DDY983174:DED983174 DNU983174:DNZ983174 DXQ983174:DXV983174 EHM983174:EHR983174 ERI983174:ERN983174 FBE983174:FBJ983174 FLA983174:FLF983174 FUW983174:FVB983174 GES983174:GEX983174 GOO983174:GOT983174 GYK983174:GYP983174 HIG983174:HIL983174 HSC983174:HSH983174 IBY983174:ICD983174 ILU983174:ILZ983174 IVQ983174:IVV983174 JFM983174:JFR983174 JPI983174:JPN983174 JZE983174:JZJ983174 KJA983174:KJF983174 KSW983174:KTB983174 LCS983174:LCX983174 LMO983174:LMT983174 LWK983174:LWP983174 MGG983174:MGL983174 MQC983174:MQH983174 MZY983174:NAD983174 NJU983174:NJZ983174 NTQ983174:NTV983174 ODM983174:ODR983174 ONI983174:ONN983174 OXE983174:OXJ983174 PHA983174:PHF983174 PQW983174:PRB983174 QAS983174:QAX983174 QKO983174:QKT983174 QUK983174:QUP983174 REG983174:REL983174 ROC983174:ROH983174 RXY983174:RYD983174 SHU983174:SHZ983174 SRQ983174:SRV983174 TBM983174:TBR983174 TLI983174:TLN983174 TVE983174:TVJ983174 UFA983174:UFF983174 UOW983174:UPB983174 UYS983174:UYX983174 VIO983174:VIT983174 VSK983174:VSP983174 WCG983174:WCL983174 WMC983174:WMH983174 WVY983174:WWD983174 R136:V136 JN136:JR136 TJ136:TN136 ADF136:ADJ136 ANB136:ANF136 AWX136:AXB136 BGT136:BGX136 BQP136:BQT136 CAL136:CAP136 CKH136:CKL136 CUD136:CUH136 DDZ136:DED136 DNV136:DNZ136 DXR136:DXV136 EHN136:EHR136 ERJ136:ERN136 FBF136:FBJ136 FLB136:FLF136 FUX136:FVB136 GET136:GEX136 GOP136:GOT136 GYL136:GYP136 HIH136:HIL136 HSD136:HSH136 IBZ136:ICD136 ILV136:ILZ136 IVR136:IVV136 JFN136:JFR136 JPJ136:JPN136 JZF136:JZJ136 KJB136:KJF136 KSX136:KTB136 LCT136:LCX136 LMP136:LMT136 LWL136:LWP136 MGH136:MGL136 MQD136:MQH136 MZZ136:NAD136 NJV136:NJZ136 NTR136:NTV136 ODN136:ODR136 ONJ136:ONN136 OXF136:OXJ136 PHB136:PHF136 PQX136:PRB136 QAT136:QAX136 QKP136:QKT136 QUL136:QUP136 REH136:REL136 ROD136:ROH136 RXZ136:RYD136 SHV136:SHZ136 SRR136:SRV136 TBN136:TBR136 TLJ136:TLN136 TVF136:TVJ136 UFB136:UFF136 UOX136:UPB136 UYT136:UYX136 VIP136:VIT136 VSL136:VSP136 WCH136:WCL136 WMD136:WMH136 WVZ136:WWD136 R65672:V65672 JN65672:JR65672 TJ65672:TN65672 ADF65672:ADJ65672 ANB65672:ANF65672 AWX65672:AXB65672 BGT65672:BGX65672 BQP65672:BQT65672 CAL65672:CAP65672 CKH65672:CKL65672 CUD65672:CUH65672 DDZ65672:DED65672 DNV65672:DNZ65672 DXR65672:DXV65672 EHN65672:EHR65672 ERJ65672:ERN65672 FBF65672:FBJ65672 FLB65672:FLF65672 FUX65672:FVB65672 GET65672:GEX65672 GOP65672:GOT65672 GYL65672:GYP65672 HIH65672:HIL65672 HSD65672:HSH65672 IBZ65672:ICD65672 ILV65672:ILZ65672 IVR65672:IVV65672 JFN65672:JFR65672 JPJ65672:JPN65672 JZF65672:JZJ65672 KJB65672:KJF65672 KSX65672:KTB65672 LCT65672:LCX65672 LMP65672:LMT65672 LWL65672:LWP65672 MGH65672:MGL65672 MQD65672:MQH65672 MZZ65672:NAD65672 NJV65672:NJZ65672 NTR65672:NTV65672 ODN65672:ODR65672 ONJ65672:ONN65672 OXF65672:OXJ65672 PHB65672:PHF65672 PQX65672:PRB65672 QAT65672:QAX65672 QKP65672:QKT65672 QUL65672:QUP65672 REH65672:REL65672 ROD65672:ROH65672 RXZ65672:RYD65672 SHV65672:SHZ65672 SRR65672:SRV65672 TBN65672:TBR65672 TLJ65672:TLN65672 TVF65672:TVJ65672 UFB65672:UFF65672 UOX65672:UPB65672 UYT65672:UYX65672 VIP65672:VIT65672 VSL65672:VSP65672 WCH65672:WCL65672 WMD65672:WMH65672 WVZ65672:WWD65672 R131208:V131208 JN131208:JR131208 TJ131208:TN131208 ADF131208:ADJ131208 ANB131208:ANF131208 AWX131208:AXB131208 BGT131208:BGX131208 BQP131208:BQT131208 CAL131208:CAP131208 CKH131208:CKL131208 CUD131208:CUH131208 DDZ131208:DED131208 DNV131208:DNZ131208 DXR131208:DXV131208 EHN131208:EHR131208 ERJ131208:ERN131208 FBF131208:FBJ131208 FLB131208:FLF131208 FUX131208:FVB131208 GET131208:GEX131208 GOP131208:GOT131208 GYL131208:GYP131208 HIH131208:HIL131208 HSD131208:HSH131208 IBZ131208:ICD131208 ILV131208:ILZ131208 IVR131208:IVV131208 JFN131208:JFR131208 JPJ131208:JPN131208 JZF131208:JZJ131208 KJB131208:KJF131208 KSX131208:KTB131208 LCT131208:LCX131208 LMP131208:LMT131208 LWL131208:LWP131208 MGH131208:MGL131208 MQD131208:MQH131208 MZZ131208:NAD131208 NJV131208:NJZ131208 NTR131208:NTV131208 ODN131208:ODR131208 ONJ131208:ONN131208 OXF131208:OXJ131208 PHB131208:PHF131208 PQX131208:PRB131208 QAT131208:QAX131208 QKP131208:QKT131208 QUL131208:QUP131208 REH131208:REL131208 ROD131208:ROH131208 RXZ131208:RYD131208 SHV131208:SHZ131208 SRR131208:SRV131208 TBN131208:TBR131208 TLJ131208:TLN131208 TVF131208:TVJ131208 UFB131208:UFF131208 UOX131208:UPB131208 UYT131208:UYX131208 VIP131208:VIT131208 VSL131208:VSP131208 WCH131208:WCL131208 WMD131208:WMH131208 WVZ131208:WWD131208 R196744:V196744 JN196744:JR196744 TJ196744:TN196744 ADF196744:ADJ196744 ANB196744:ANF196744 AWX196744:AXB196744 BGT196744:BGX196744 BQP196744:BQT196744 CAL196744:CAP196744 CKH196744:CKL196744 CUD196744:CUH196744 DDZ196744:DED196744 DNV196744:DNZ196744 DXR196744:DXV196744 EHN196744:EHR196744 ERJ196744:ERN196744 FBF196744:FBJ196744 FLB196744:FLF196744 FUX196744:FVB196744 GET196744:GEX196744 GOP196744:GOT196744 GYL196744:GYP196744 HIH196744:HIL196744 HSD196744:HSH196744 IBZ196744:ICD196744 ILV196744:ILZ196744 IVR196744:IVV196744 JFN196744:JFR196744 JPJ196744:JPN196744 JZF196744:JZJ196744 KJB196744:KJF196744 KSX196744:KTB196744 LCT196744:LCX196744 LMP196744:LMT196744 LWL196744:LWP196744 MGH196744:MGL196744 MQD196744:MQH196744 MZZ196744:NAD196744 NJV196744:NJZ196744 NTR196744:NTV196744 ODN196744:ODR196744 ONJ196744:ONN196744 OXF196744:OXJ196744 PHB196744:PHF196744 PQX196744:PRB196744 QAT196744:QAX196744 QKP196744:QKT196744 QUL196744:QUP196744 REH196744:REL196744 ROD196744:ROH196744 RXZ196744:RYD196744 SHV196744:SHZ196744 SRR196744:SRV196744 TBN196744:TBR196744 TLJ196744:TLN196744 TVF196744:TVJ196744 UFB196744:UFF196744 UOX196744:UPB196744 UYT196744:UYX196744 VIP196744:VIT196744 VSL196744:VSP196744 WCH196744:WCL196744 WMD196744:WMH196744 WVZ196744:WWD196744 R262280:V262280 JN262280:JR262280 TJ262280:TN262280 ADF262280:ADJ262280 ANB262280:ANF262280 AWX262280:AXB262280 BGT262280:BGX262280 BQP262280:BQT262280 CAL262280:CAP262280 CKH262280:CKL262280 CUD262280:CUH262280 DDZ262280:DED262280 DNV262280:DNZ262280 DXR262280:DXV262280 EHN262280:EHR262280 ERJ262280:ERN262280 FBF262280:FBJ262280 FLB262280:FLF262280 FUX262280:FVB262280 GET262280:GEX262280 GOP262280:GOT262280 GYL262280:GYP262280 HIH262280:HIL262280 HSD262280:HSH262280 IBZ262280:ICD262280 ILV262280:ILZ262280 IVR262280:IVV262280 JFN262280:JFR262280 JPJ262280:JPN262280 JZF262280:JZJ262280 KJB262280:KJF262280 KSX262280:KTB262280 LCT262280:LCX262280 LMP262280:LMT262280 LWL262280:LWP262280 MGH262280:MGL262280 MQD262280:MQH262280 MZZ262280:NAD262280 NJV262280:NJZ262280 NTR262280:NTV262280 ODN262280:ODR262280 ONJ262280:ONN262280 OXF262280:OXJ262280 PHB262280:PHF262280 PQX262280:PRB262280 QAT262280:QAX262280 QKP262280:QKT262280 QUL262280:QUP262280 REH262280:REL262280 ROD262280:ROH262280 RXZ262280:RYD262280 SHV262280:SHZ262280 SRR262280:SRV262280 TBN262280:TBR262280 TLJ262280:TLN262280 TVF262280:TVJ262280 UFB262280:UFF262280 UOX262280:UPB262280 UYT262280:UYX262280 VIP262280:VIT262280 VSL262280:VSP262280 WCH262280:WCL262280 WMD262280:WMH262280 WVZ262280:WWD262280 R327816:V327816 JN327816:JR327816 TJ327816:TN327816 ADF327816:ADJ327816 ANB327816:ANF327816 AWX327816:AXB327816 BGT327816:BGX327816 BQP327816:BQT327816 CAL327816:CAP327816 CKH327816:CKL327816 CUD327816:CUH327816 DDZ327816:DED327816 DNV327816:DNZ327816 DXR327816:DXV327816 EHN327816:EHR327816 ERJ327816:ERN327816 FBF327816:FBJ327816 FLB327816:FLF327816 FUX327816:FVB327816 GET327816:GEX327816 GOP327816:GOT327816 GYL327816:GYP327816 HIH327816:HIL327816 HSD327816:HSH327816 IBZ327816:ICD327816 ILV327816:ILZ327816 IVR327816:IVV327816 JFN327816:JFR327816 JPJ327816:JPN327816 JZF327816:JZJ327816 KJB327816:KJF327816 KSX327816:KTB327816 LCT327816:LCX327816 LMP327816:LMT327816 LWL327816:LWP327816 MGH327816:MGL327816 MQD327816:MQH327816 MZZ327816:NAD327816 NJV327816:NJZ327816 NTR327816:NTV327816 ODN327816:ODR327816 ONJ327816:ONN327816 OXF327816:OXJ327816 PHB327816:PHF327816 PQX327816:PRB327816 QAT327816:QAX327816 QKP327816:QKT327816 QUL327816:QUP327816 REH327816:REL327816 ROD327816:ROH327816 RXZ327816:RYD327816 SHV327816:SHZ327816 SRR327816:SRV327816 TBN327816:TBR327816 TLJ327816:TLN327816 TVF327816:TVJ327816 UFB327816:UFF327816 UOX327816:UPB327816 UYT327816:UYX327816 VIP327816:VIT327816 VSL327816:VSP327816 WCH327816:WCL327816 WMD327816:WMH327816 WVZ327816:WWD327816 R393352:V393352 JN393352:JR393352 TJ393352:TN393352 ADF393352:ADJ393352 ANB393352:ANF393352 AWX393352:AXB393352 BGT393352:BGX393352 BQP393352:BQT393352 CAL393352:CAP393352 CKH393352:CKL393352 CUD393352:CUH393352 DDZ393352:DED393352 DNV393352:DNZ393352 DXR393352:DXV393352 EHN393352:EHR393352 ERJ393352:ERN393352 FBF393352:FBJ393352 FLB393352:FLF393352 FUX393352:FVB393352 GET393352:GEX393352 GOP393352:GOT393352 GYL393352:GYP393352 HIH393352:HIL393352 HSD393352:HSH393352 IBZ393352:ICD393352 ILV393352:ILZ393352 IVR393352:IVV393352 JFN393352:JFR393352 JPJ393352:JPN393352 JZF393352:JZJ393352 KJB393352:KJF393352 KSX393352:KTB393352 LCT393352:LCX393352 LMP393352:LMT393352 LWL393352:LWP393352 MGH393352:MGL393352 MQD393352:MQH393352 MZZ393352:NAD393352 NJV393352:NJZ393352 NTR393352:NTV393352 ODN393352:ODR393352 ONJ393352:ONN393352 OXF393352:OXJ393352 PHB393352:PHF393352 PQX393352:PRB393352 QAT393352:QAX393352 QKP393352:QKT393352 QUL393352:QUP393352 REH393352:REL393352 ROD393352:ROH393352 RXZ393352:RYD393352 SHV393352:SHZ393352 SRR393352:SRV393352 TBN393352:TBR393352 TLJ393352:TLN393352 TVF393352:TVJ393352 UFB393352:UFF393352 UOX393352:UPB393352 UYT393352:UYX393352 VIP393352:VIT393352 VSL393352:VSP393352 WCH393352:WCL393352 WMD393352:WMH393352 WVZ393352:WWD393352 R458888:V458888 JN458888:JR458888 TJ458888:TN458888 ADF458888:ADJ458888 ANB458888:ANF458888 AWX458888:AXB458888 BGT458888:BGX458888 BQP458888:BQT458888 CAL458888:CAP458888 CKH458888:CKL458888 CUD458888:CUH458888 DDZ458888:DED458888 DNV458888:DNZ458888 DXR458888:DXV458888 EHN458888:EHR458888 ERJ458888:ERN458888 FBF458888:FBJ458888 FLB458888:FLF458888 FUX458888:FVB458888 GET458888:GEX458888 GOP458888:GOT458888 GYL458888:GYP458888 HIH458888:HIL458888 HSD458888:HSH458888 IBZ458888:ICD458888 ILV458888:ILZ458888 IVR458888:IVV458888 JFN458888:JFR458888 JPJ458888:JPN458888 JZF458888:JZJ458888 KJB458888:KJF458888 KSX458888:KTB458888 LCT458888:LCX458888 LMP458888:LMT458888 LWL458888:LWP458888 MGH458888:MGL458888 MQD458888:MQH458888 MZZ458888:NAD458888 NJV458888:NJZ458888 NTR458888:NTV458888 ODN458888:ODR458888 ONJ458888:ONN458888 OXF458888:OXJ458888 PHB458888:PHF458888 PQX458888:PRB458888 QAT458888:QAX458888 QKP458888:QKT458888 QUL458888:QUP458888 REH458888:REL458888 ROD458888:ROH458888 RXZ458888:RYD458888 SHV458888:SHZ458888 SRR458888:SRV458888 TBN458888:TBR458888 TLJ458888:TLN458888 TVF458888:TVJ458888 UFB458888:UFF458888 UOX458888:UPB458888 UYT458888:UYX458888 VIP458888:VIT458888 VSL458888:VSP458888 WCH458888:WCL458888 WMD458888:WMH458888 WVZ458888:WWD458888 R524424:V524424 JN524424:JR524424 TJ524424:TN524424 ADF524424:ADJ524424 ANB524424:ANF524424 AWX524424:AXB524424 BGT524424:BGX524424 BQP524424:BQT524424 CAL524424:CAP524424 CKH524424:CKL524424 CUD524424:CUH524424 DDZ524424:DED524424 DNV524424:DNZ524424 DXR524424:DXV524424 EHN524424:EHR524424 ERJ524424:ERN524424 FBF524424:FBJ524424 FLB524424:FLF524424 FUX524424:FVB524424 GET524424:GEX524424 GOP524424:GOT524424 GYL524424:GYP524424 HIH524424:HIL524424 HSD524424:HSH524424 IBZ524424:ICD524424 ILV524424:ILZ524424 IVR524424:IVV524424 JFN524424:JFR524424 JPJ524424:JPN524424 JZF524424:JZJ524424 KJB524424:KJF524424 KSX524424:KTB524424 LCT524424:LCX524424 LMP524424:LMT524424 LWL524424:LWP524424 MGH524424:MGL524424 MQD524424:MQH524424 MZZ524424:NAD524424 NJV524424:NJZ524424 NTR524424:NTV524424 ODN524424:ODR524424 ONJ524424:ONN524424 OXF524424:OXJ524424 PHB524424:PHF524424 PQX524424:PRB524424 QAT524424:QAX524424 QKP524424:QKT524424 QUL524424:QUP524424 REH524424:REL524424 ROD524424:ROH524424 RXZ524424:RYD524424 SHV524424:SHZ524424 SRR524424:SRV524424 TBN524424:TBR524424 TLJ524424:TLN524424 TVF524424:TVJ524424 UFB524424:UFF524424 UOX524424:UPB524424 UYT524424:UYX524424 VIP524424:VIT524424 VSL524424:VSP524424 WCH524424:WCL524424 WMD524424:WMH524424 WVZ524424:WWD524424 R589960:V589960 JN589960:JR589960 TJ589960:TN589960 ADF589960:ADJ589960 ANB589960:ANF589960 AWX589960:AXB589960 BGT589960:BGX589960 BQP589960:BQT589960 CAL589960:CAP589960 CKH589960:CKL589960 CUD589960:CUH589960 DDZ589960:DED589960 DNV589960:DNZ589960 DXR589960:DXV589960 EHN589960:EHR589960 ERJ589960:ERN589960 FBF589960:FBJ589960 FLB589960:FLF589960 FUX589960:FVB589960 GET589960:GEX589960 GOP589960:GOT589960 GYL589960:GYP589960 HIH589960:HIL589960 HSD589960:HSH589960 IBZ589960:ICD589960 ILV589960:ILZ589960 IVR589960:IVV589960 JFN589960:JFR589960 JPJ589960:JPN589960 JZF589960:JZJ589960 KJB589960:KJF589960 KSX589960:KTB589960 LCT589960:LCX589960 LMP589960:LMT589960 LWL589960:LWP589960 MGH589960:MGL589960 MQD589960:MQH589960 MZZ589960:NAD589960 NJV589960:NJZ589960 NTR589960:NTV589960 ODN589960:ODR589960 ONJ589960:ONN589960 OXF589960:OXJ589960 PHB589960:PHF589960 PQX589960:PRB589960 QAT589960:QAX589960 QKP589960:QKT589960 QUL589960:QUP589960 REH589960:REL589960 ROD589960:ROH589960 RXZ589960:RYD589960 SHV589960:SHZ589960 SRR589960:SRV589960 TBN589960:TBR589960 TLJ589960:TLN589960 TVF589960:TVJ589960 UFB589960:UFF589960 UOX589960:UPB589960 UYT589960:UYX589960 VIP589960:VIT589960 VSL589960:VSP589960 WCH589960:WCL589960 WMD589960:WMH589960 WVZ589960:WWD589960 R655496:V655496 JN655496:JR655496 TJ655496:TN655496 ADF655496:ADJ655496 ANB655496:ANF655496 AWX655496:AXB655496 BGT655496:BGX655496 BQP655496:BQT655496 CAL655496:CAP655496 CKH655496:CKL655496 CUD655496:CUH655496 DDZ655496:DED655496 DNV655496:DNZ655496 DXR655496:DXV655496 EHN655496:EHR655496 ERJ655496:ERN655496 FBF655496:FBJ655496 FLB655496:FLF655496 FUX655496:FVB655496 GET655496:GEX655496 GOP655496:GOT655496 GYL655496:GYP655496 HIH655496:HIL655496 HSD655496:HSH655496 IBZ655496:ICD655496 ILV655496:ILZ655496 IVR655496:IVV655496 JFN655496:JFR655496 JPJ655496:JPN655496 JZF655496:JZJ655496 KJB655496:KJF655496 KSX655496:KTB655496 LCT655496:LCX655496 LMP655496:LMT655496 LWL655496:LWP655496 MGH655496:MGL655496 MQD655496:MQH655496 MZZ655496:NAD655496 NJV655496:NJZ655496 NTR655496:NTV655496 ODN655496:ODR655496 ONJ655496:ONN655496 OXF655496:OXJ655496 PHB655496:PHF655496 PQX655496:PRB655496 QAT655496:QAX655496 QKP655496:QKT655496 QUL655496:QUP655496 REH655496:REL655496 ROD655496:ROH655496 RXZ655496:RYD655496 SHV655496:SHZ655496 SRR655496:SRV655496 TBN655496:TBR655496 TLJ655496:TLN655496 TVF655496:TVJ655496 UFB655496:UFF655496 UOX655496:UPB655496 UYT655496:UYX655496 VIP655496:VIT655496 VSL655496:VSP655496 WCH655496:WCL655496 WMD655496:WMH655496 WVZ655496:WWD655496 R721032:V721032 JN721032:JR721032 TJ721032:TN721032 ADF721032:ADJ721032 ANB721032:ANF721032 AWX721032:AXB721032 BGT721032:BGX721032 BQP721032:BQT721032 CAL721032:CAP721032 CKH721032:CKL721032 CUD721032:CUH721032 DDZ721032:DED721032 DNV721032:DNZ721032 DXR721032:DXV721032 EHN721032:EHR721032 ERJ721032:ERN721032 FBF721032:FBJ721032 FLB721032:FLF721032 FUX721032:FVB721032 GET721032:GEX721032 GOP721032:GOT721032 GYL721032:GYP721032 HIH721032:HIL721032 HSD721032:HSH721032 IBZ721032:ICD721032 ILV721032:ILZ721032 IVR721032:IVV721032 JFN721032:JFR721032 JPJ721032:JPN721032 JZF721032:JZJ721032 KJB721032:KJF721032 KSX721032:KTB721032 LCT721032:LCX721032 LMP721032:LMT721032 LWL721032:LWP721032 MGH721032:MGL721032 MQD721032:MQH721032 MZZ721032:NAD721032 NJV721032:NJZ721032 NTR721032:NTV721032 ODN721032:ODR721032 ONJ721032:ONN721032 OXF721032:OXJ721032 PHB721032:PHF721032 PQX721032:PRB721032 QAT721032:QAX721032 QKP721032:QKT721032 QUL721032:QUP721032 REH721032:REL721032 ROD721032:ROH721032 RXZ721032:RYD721032 SHV721032:SHZ721032 SRR721032:SRV721032 TBN721032:TBR721032 TLJ721032:TLN721032 TVF721032:TVJ721032 UFB721032:UFF721032 UOX721032:UPB721032 UYT721032:UYX721032 VIP721032:VIT721032 VSL721032:VSP721032 WCH721032:WCL721032 WMD721032:WMH721032 WVZ721032:WWD721032 R786568:V786568 JN786568:JR786568 TJ786568:TN786568 ADF786568:ADJ786568 ANB786568:ANF786568 AWX786568:AXB786568 BGT786568:BGX786568 BQP786568:BQT786568 CAL786568:CAP786568 CKH786568:CKL786568 CUD786568:CUH786568 DDZ786568:DED786568 DNV786568:DNZ786568 DXR786568:DXV786568 EHN786568:EHR786568 ERJ786568:ERN786568 FBF786568:FBJ786568 FLB786568:FLF786568 FUX786568:FVB786568 GET786568:GEX786568 GOP786568:GOT786568 GYL786568:GYP786568 HIH786568:HIL786568 HSD786568:HSH786568 IBZ786568:ICD786568 ILV786568:ILZ786568 IVR786568:IVV786568 JFN786568:JFR786568 JPJ786568:JPN786568 JZF786568:JZJ786568 KJB786568:KJF786568 KSX786568:KTB786568 LCT786568:LCX786568 LMP786568:LMT786568 LWL786568:LWP786568 MGH786568:MGL786568 MQD786568:MQH786568 MZZ786568:NAD786568 NJV786568:NJZ786568 NTR786568:NTV786568 ODN786568:ODR786568 ONJ786568:ONN786568 OXF786568:OXJ786568 PHB786568:PHF786568 PQX786568:PRB786568 QAT786568:QAX786568 QKP786568:QKT786568 QUL786568:QUP786568 REH786568:REL786568 ROD786568:ROH786568 RXZ786568:RYD786568 SHV786568:SHZ786568 SRR786568:SRV786568 TBN786568:TBR786568 TLJ786568:TLN786568 TVF786568:TVJ786568 UFB786568:UFF786568 UOX786568:UPB786568 UYT786568:UYX786568 VIP786568:VIT786568 VSL786568:VSP786568 WCH786568:WCL786568 WMD786568:WMH786568 WVZ786568:WWD786568 R852104:V852104 JN852104:JR852104 TJ852104:TN852104 ADF852104:ADJ852104 ANB852104:ANF852104 AWX852104:AXB852104 BGT852104:BGX852104 BQP852104:BQT852104 CAL852104:CAP852104 CKH852104:CKL852104 CUD852104:CUH852104 DDZ852104:DED852104 DNV852104:DNZ852104 DXR852104:DXV852104 EHN852104:EHR852104 ERJ852104:ERN852104 FBF852104:FBJ852104 FLB852104:FLF852104 FUX852104:FVB852104 GET852104:GEX852104 GOP852104:GOT852104 GYL852104:GYP852104 HIH852104:HIL852104 HSD852104:HSH852104 IBZ852104:ICD852104 ILV852104:ILZ852104 IVR852104:IVV852104 JFN852104:JFR852104 JPJ852104:JPN852104 JZF852104:JZJ852104 KJB852104:KJF852104 KSX852104:KTB852104 LCT852104:LCX852104 LMP852104:LMT852104 LWL852104:LWP852104 MGH852104:MGL852104 MQD852104:MQH852104 MZZ852104:NAD852104 NJV852104:NJZ852104 NTR852104:NTV852104 ODN852104:ODR852104 ONJ852104:ONN852104 OXF852104:OXJ852104 PHB852104:PHF852104 PQX852104:PRB852104 QAT852104:QAX852104 QKP852104:QKT852104 QUL852104:QUP852104 REH852104:REL852104 ROD852104:ROH852104 RXZ852104:RYD852104 SHV852104:SHZ852104 SRR852104:SRV852104 TBN852104:TBR852104 TLJ852104:TLN852104 TVF852104:TVJ852104 UFB852104:UFF852104 UOX852104:UPB852104 UYT852104:UYX852104 VIP852104:VIT852104 VSL852104:VSP852104 WCH852104:WCL852104 WMD852104:WMH852104 WVZ852104:WWD852104 R917640:V917640 JN917640:JR917640 TJ917640:TN917640 ADF917640:ADJ917640 ANB917640:ANF917640 AWX917640:AXB917640 BGT917640:BGX917640 BQP917640:BQT917640 CAL917640:CAP917640 CKH917640:CKL917640 CUD917640:CUH917640 DDZ917640:DED917640 DNV917640:DNZ917640 DXR917640:DXV917640 EHN917640:EHR917640 ERJ917640:ERN917640 FBF917640:FBJ917640 FLB917640:FLF917640 FUX917640:FVB917640 GET917640:GEX917640 GOP917640:GOT917640 GYL917640:GYP917640 HIH917640:HIL917640 HSD917640:HSH917640 IBZ917640:ICD917640 ILV917640:ILZ917640 IVR917640:IVV917640 JFN917640:JFR917640 JPJ917640:JPN917640 JZF917640:JZJ917640 KJB917640:KJF917640 KSX917640:KTB917640 LCT917640:LCX917640 LMP917640:LMT917640 LWL917640:LWP917640 MGH917640:MGL917640 MQD917640:MQH917640 MZZ917640:NAD917640 NJV917640:NJZ917640 NTR917640:NTV917640 ODN917640:ODR917640 ONJ917640:ONN917640 OXF917640:OXJ917640 PHB917640:PHF917640 PQX917640:PRB917640 QAT917640:QAX917640 QKP917640:QKT917640 QUL917640:QUP917640 REH917640:REL917640 ROD917640:ROH917640 RXZ917640:RYD917640 SHV917640:SHZ917640 SRR917640:SRV917640 TBN917640:TBR917640 TLJ917640:TLN917640 TVF917640:TVJ917640 UFB917640:UFF917640 UOX917640:UPB917640 UYT917640:UYX917640 VIP917640:VIT917640 VSL917640:VSP917640 WCH917640:WCL917640 WMD917640:WMH917640 WVZ917640:WWD917640 R983176:V983176 JN983176:JR983176 TJ983176:TN983176 ADF983176:ADJ983176 ANB983176:ANF983176 AWX983176:AXB983176 BGT983176:BGX983176 BQP983176:BQT983176 CAL983176:CAP983176 CKH983176:CKL983176 CUD983176:CUH983176 DDZ983176:DED983176 DNV983176:DNZ983176 DXR983176:DXV983176 EHN983176:EHR983176 ERJ983176:ERN983176 FBF983176:FBJ983176 FLB983176:FLF983176 FUX983176:FVB983176 GET983176:GEX983176 GOP983176:GOT983176 GYL983176:GYP983176 HIH983176:HIL983176 HSD983176:HSH983176 IBZ983176:ICD983176 ILV983176:ILZ983176 IVR983176:IVV983176 JFN983176:JFR983176 JPJ983176:JPN983176 JZF983176:JZJ983176 KJB983176:KJF983176 KSX983176:KTB983176 LCT983176:LCX983176 LMP983176:LMT983176 LWL983176:LWP983176 MGH983176:MGL983176 MQD983176:MQH983176 MZZ983176:NAD983176 NJV983176:NJZ983176 NTR983176:NTV983176 ODN983176:ODR983176 ONJ983176:ONN983176 OXF983176:OXJ983176 PHB983176:PHF983176 PQX983176:PRB983176 QAT983176:QAX983176 QKP983176:QKT983176 QUL983176:QUP983176 REH983176:REL983176 ROD983176:ROH983176 RXZ983176:RYD983176 SHV983176:SHZ983176 SRR983176:SRV983176 TBN983176:TBR983176 TLJ983176:TLN983176 TVF983176:TVJ983176 UFB983176:UFF983176 UOX983176:UPB983176 UYT983176:UYX983176 VIP983176:VIT983176 VSL983176:VSP983176 WCH983176:WCL983176 WMD983176:WMH983176 WVZ983176:WWD983176 R146:V146 JN146:JR146 TJ146:TN146 ADF146:ADJ146 ANB146:ANF146 AWX146:AXB146 BGT146:BGX146 BQP146:BQT146 CAL146:CAP146 CKH146:CKL146 CUD146:CUH146 DDZ146:DED146 DNV146:DNZ146 DXR146:DXV146 EHN146:EHR146 ERJ146:ERN146 FBF146:FBJ146 FLB146:FLF146 FUX146:FVB146 GET146:GEX146 GOP146:GOT146 GYL146:GYP146 HIH146:HIL146 HSD146:HSH146 IBZ146:ICD146 ILV146:ILZ146 IVR146:IVV146 JFN146:JFR146 JPJ146:JPN146 JZF146:JZJ146 KJB146:KJF146 KSX146:KTB146 LCT146:LCX146 LMP146:LMT146 LWL146:LWP146 MGH146:MGL146 MQD146:MQH146 MZZ146:NAD146 NJV146:NJZ146 NTR146:NTV146 ODN146:ODR146 ONJ146:ONN146 OXF146:OXJ146 PHB146:PHF146 PQX146:PRB146 QAT146:QAX146 QKP146:QKT146 QUL146:QUP146 REH146:REL146 ROD146:ROH146 RXZ146:RYD146 SHV146:SHZ146 SRR146:SRV146 TBN146:TBR146 TLJ146:TLN146 TVF146:TVJ146 UFB146:UFF146 UOX146:UPB146 UYT146:UYX146 VIP146:VIT146 VSL146:VSP146 WCH146:WCL146 WMD146:WMH146 WVZ146:WWD146 R65682:V65682 JN65682:JR65682 TJ65682:TN65682 ADF65682:ADJ65682 ANB65682:ANF65682 AWX65682:AXB65682 BGT65682:BGX65682 BQP65682:BQT65682 CAL65682:CAP65682 CKH65682:CKL65682 CUD65682:CUH65682 DDZ65682:DED65682 DNV65682:DNZ65682 DXR65682:DXV65682 EHN65682:EHR65682 ERJ65682:ERN65682 FBF65682:FBJ65682 FLB65682:FLF65682 FUX65682:FVB65682 GET65682:GEX65682 GOP65682:GOT65682 GYL65682:GYP65682 HIH65682:HIL65682 HSD65682:HSH65682 IBZ65682:ICD65682 ILV65682:ILZ65682 IVR65682:IVV65682 JFN65682:JFR65682 JPJ65682:JPN65682 JZF65682:JZJ65682 KJB65682:KJF65682 KSX65682:KTB65682 LCT65682:LCX65682 LMP65682:LMT65682 LWL65682:LWP65682 MGH65682:MGL65682 MQD65682:MQH65682 MZZ65682:NAD65682 NJV65682:NJZ65682 NTR65682:NTV65682 ODN65682:ODR65682 ONJ65682:ONN65682 OXF65682:OXJ65682 PHB65682:PHF65682 PQX65682:PRB65682 QAT65682:QAX65682 QKP65682:QKT65682 QUL65682:QUP65682 REH65682:REL65682 ROD65682:ROH65682 RXZ65682:RYD65682 SHV65682:SHZ65682 SRR65682:SRV65682 TBN65682:TBR65682 TLJ65682:TLN65682 TVF65682:TVJ65682 UFB65682:UFF65682 UOX65682:UPB65682 UYT65682:UYX65682 VIP65682:VIT65682 VSL65682:VSP65682 WCH65682:WCL65682 WMD65682:WMH65682 WVZ65682:WWD65682 R131218:V131218 JN131218:JR131218 TJ131218:TN131218 ADF131218:ADJ131218 ANB131218:ANF131218 AWX131218:AXB131218 BGT131218:BGX131218 BQP131218:BQT131218 CAL131218:CAP131218 CKH131218:CKL131218 CUD131218:CUH131218 DDZ131218:DED131218 DNV131218:DNZ131218 DXR131218:DXV131218 EHN131218:EHR131218 ERJ131218:ERN131218 FBF131218:FBJ131218 FLB131218:FLF131218 FUX131218:FVB131218 GET131218:GEX131218 GOP131218:GOT131218 GYL131218:GYP131218 HIH131218:HIL131218 HSD131218:HSH131218 IBZ131218:ICD131218 ILV131218:ILZ131218 IVR131218:IVV131218 JFN131218:JFR131218 JPJ131218:JPN131218 JZF131218:JZJ131218 KJB131218:KJF131218 KSX131218:KTB131218 LCT131218:LCX131218 LMP131218:LMT131218 LWL131218:LWP131218 MGH131218:MGL131218 MQD131218:MQH131218 MZZ131218:NAD131218 NJV131218:NJZ131218 NTR131218:NTV131218 ODN131218:ODR131218 ONJ131218:ONN131218 OXF131218:OXJ131218 PHB131218:PHF131218 PQX131218:PRB131218 QAT131218:QAX131218 QKP131218:QKT131218 QUL131218:QUP131218 REH131218:REL131218 ROD131218:ROH131218 RXZ131218:RYD131218 SHV131218:SHZ131218 SRR131218:SRV131218 TBN131218:TBR131218 TLJ131218:TLN131218 TVF131218:TVJ131218 UFB131218:UFF131218 UOX131218:UPB131218 UYT131218:UYX131218 VIP131218:VIT131218 VSL131218:VSP131218 WCH131218:WCL131218 WMD131218:WMH131218 WVZ131218:WWD131218 R196754:V196754 JN196754:JR196754 TJ196754:TN196754 ADF196754:ADJ196754 ANB196754:ANF196754 AWX196754:AXB196754 BGT196754:BGX196754 BQP196754:BQT196754 CAL196754:CAP196754 CKH196754:CKL196754 CUD196754:CUH196754 DDZ196754:DED196754 DNV196754:DNZ196754 DXR196754:DXV196754 EHN196754:EHR196754 ERJ196754:ERN196754 FBF196754:FBJ196754 FLB196754:FLF196754 FUX196754:FVB196754 GET196754:GEX196754 GOP196754:GOT196754 GYL196754:GYP196754 HIH196754:HIL196754 HSD196754:HSH196754 IBZ196754:ICD196754 ILV196754:ILZ196754 IVR196754:IVV196754 JFN196754:JFR196754 JPJ196754:JPN196754 JZF196754:JZJ196754 KJB196754:KJF196754 KSX196754:KTB196754 LCT196754:LCX196754 LMP196754:LMT196754 LWL196754:LWP196754 MGH196754:MGL196754 MQD196754:MQH196754 MZZ196754:NAD196754 NJV196754:NJZ196754 NTR196754:NTV196754 ODN196754:ODR196754 ONJ196754:ONN196754 OXF196754:OXJ196754 PHB196754:PHF196754 PQX196754:PRB196754 QAT196754:QAX196754 QKP196754:QKT196754 QUL196754:QUP196754 REH196754:REL196754 ROD196754:ROH196754 RXZ196754:RYD196754 SHV196754:SHZ196754 SRR196754:SRV196754 TBN196754:TBR196754 TLJ196754:TLN196754 TVF196754:TVJ196754 UFB196754:UFF196754 UOX196754:UPB196754 UYT196754:UYX196754 VIP196754:VIT196754 VSL196754:VSP196754 WCH196754:WCL196754 WMD196754:WMH196754 WVZ196754:WWD196754 R262290:V262290 JN262290:JR262290 TJ262290:TN262290 ADF262290:ADJ262290 ANB262290:ANF262290 AWX262290:AXB262290 BGT262290:BGX262290 BQP262290:BQT262290 CAL262290:CAP262290 CKH262290:CKL262290 CUD262290:CUH262290 DDZ262290:DED262290 DNV262290:DNZ262290 DXR262290:DXV262290 EHN262290:EHR262290 ERJ262290:ERN262290 FBF262290:FBJ262290 FLB262290:FLF262290 FUX262290:FVB262290 GET262290:GEX262290 GOP262290:GOT262290 GYL262290:GYP262290 HIH262290:HIL262290 HSD262290:HSH262290 IBZ262290:ICD262290 ILV262290:ILZ262290 IVR262290:IVV262290 JFN262290:JFR262290 JPJ262290:JPN262290 JZF262290:JZJ262290 KJB262290:KJF262290 KSX262290:KTB262290 LCT262290:LCX262290 LMP262290:LMT262290 LWL262290:LWP262290 MGH262290:MGL262290 MQD262290:MQH262290 MZZ262290:NAD262290 NJV262290:NJZ262290 NTR262290:NTV262290 ODN262290:ODR262290 ONJ262290:ONN262290 OXF262290:OXJ262290 PHB262290:PHF262290 PQX262290:PRB262290 QAT262290:QAX262290 QKP262290:QKT262290 QUL262290:QUP262290 REH262290:REL262290 ROD262290:ROH262290 RXZ262290:RYD262290 SHV262290:SHZ262290 SRR262290:SRV262290 TBN262290:TBR262290 TLJ262290:TLN262290 TVF262290:TVJ262290 UFB262290:UFF262290 UOX262290:UPB262290 UYT262290:UYX262290 VIP262290:VIT262290 VSL262290:VSP262290 WCH262290:WCL262290 WMD262290:WMH262290 WVZ262290:WWD262290 R327826:V327826 JN327826:JR327826 TJ327826:TN327826 ADF327826:ADJ327826 ANB327826:ANF327826 AWX327826:AXB327826 BGT327826:BGX327826 BQP327826:BQT327826 CAL327826:CAP327826 CKH327826:CKL327826 CUD327826:CUH327826 DDZ327826:DED327826 DNV327826:DNZ327826 DXR327826:DXV327826 EHN327826:EHR327826 ERJ327826:ERN327826 FBF327826:FBJ327826 FLB327826:FLF327826 FUX327826:FVB327826 GET327826:GEX327826 GOP327826:GOT327826 GYL327826:GYP327826 HIH327826:HIL327826 HSD327826:HSH327826 IBZ327826:ICD327826 ILV327826:ILZ327826 IVR327826:IVV327826 JFN327826:JFR327826 JPJ327826:JPN327826 JZF327826:JZJ327826 KJB327826:KJF327826 KSX327826:KTB327826 LCT327826:LCX327826 LMP327826:LMT327826 LWL327826:LWP327826 MGH327826:MGL327826 MQD327826:MQH327826 MZZ327826:NAD327826 NJV327826:NJZ327826 NTR327826:NTV327826 ODN327826:ODR327826 ONJ327826:ONN327826 OXF327826:OXJ327826 PHB327826:PHF327826 PQX327826:PRB327826 QAT327826:QAX327826 QKP327826:QKT327826 QUL327826:QUP327826 REH327826:REL327826 ROD327826:ROH327826 RXZ327826:RYD327826 SHV327826:SHZ327826 SRR327826:SRV327826 TBN327826:TBR327826 TLJ327826:TLN327826 TVF327826:TVJ327826 UFB327826:UFF327826 UOX327826:UPB327826 UYT327826:UYX327826 VIP327826:VIT327826 VSL327826:VSP327826 WCH327826:WCL327826 WMD327826:WMH327826 WVZ327826:WWD327826 R393362:V393362 JN393362:JR393362 TJ393362:TN393362 ADF393362:ADJ393362 ANB393362:ANF393362 AWX393362:AXB393362 BGT393362:BGX393362 BQP393362:BQT393362 CAL393362:CAP393362 CKH393362:CKL393362 CUD393362:CUH393362 DDZ393362:DED393362 DNV393362:DNZ393362 DXR393362:DXV393362 EHN393362:EHR393362 ERJ393362:ERN393362 FBF393362:FBJ393362 FLB393362:FLF393362 FUX393362:FVB393362 GET393362:GEX393362 GOP393362:GOT393362 GYL393362:GYP393362 HIH393362:HIL393362 HSD393362:HSH393362 IBZ393362:ICD393362 ILV393362:ILZ393362 IVR393362:IVV393362 JFN393362:JFR393362 JPJ393362:JPN393362 JZF393362:JZJ393362 KJB393362:KJF393362 KSX393362:KTB393362 LCT393362:LCX393362 LMP393362:LMT393362 LWL393362:LWP393362 MGH393362:MGL393362 MQD393362:MQH393362 MZZ393362:NAD393362 NJV393362:NJZ393362 NTR393362:NTV393362 ODN393362:ODR393362 ONJ393362:ONN393362 OXF393362:OXJ393362 PHB393362:PHF393362 PQX393362:PRB393362 QAT393362:QAX393362 QKP393362:QKT393362 QUL393362:QUP393362 REH393362:REL393362 ROD393362:ROH393362 RXZ393362:RYD393362 SHV393362:SHZ393362 SRR393362:SRV393362 TBN393362:TBR393362 TLJ393362:TLN393362 TVF393362:TVJ393362 UFB393362:UFF393362 UOX393362:UPB393362 UYT393362:UYX393362 VIP393362:VIT393362 VSL393362:VSP393362 WCH393362:WCL393362 WMD393362:WMH393362 WVZ393362:WWD393362 R458898:V458898 JN458898:JR458898 TJ458898:TN458898 ADF458898:ADJ458898 ANB458898:ANF458898 AWX458898:AXB458898 BGT458898:BGX458898 BQP458898:BQT458898 CAL458898:CAP458898 CKH458898:CKL458898 CUD458898:CUH458898 DDZ458898:DED458898 DNV458898:DNZ458898 DXR458898:DXV458898 EHN458898:EHR458898 ERJ458898:ERN458898 FBF458898:FBJ458898 FLB458898:FLF458898 FUX458898:FVB458898 GET458898:GEX458898 GOP458898:GOT458898 GYL458898:GYP458898 HIH458898:HIL458898 HSD458898:HSH458898 IBZ458898:ICD458898 ILV458898:ILZ458898 IVR458898:IVV458898 JFN458898:JFR458898 JPJ458898:JPN458898 JZF458898:JZJ458898 KJB458898:KJF458898 KSX458898:KTB458898 LCT458898:LCX458898 LMP458898:LMT458898 LWL458898:LWP458898 MGH458898:MGL458898 MQD458898:MQH458898 MZZ458898:NAD458898 NJV458898:NJZ458898 NTR458898:NTV458898 ODN458898:ODR458898 ONJ458898:ONN458898 OXF458898:OXJ458898 PHB458898:PHF458898 PQX458898:PRB458898 QAT458898:QAX458898 QKP458898:QKT458898 QUL458898:QUP458898 REH458898:REL458898 ROD458898:ROH458898 RXZ458898:RYD458898 SHV458898:SHZ458898 SRR458898:SRV458898 TBN458898:TBR458898 TLJ458898:TLN458898 TVF458898:TVJ458898 UFB458898:UFF458898 UOX458898:UPB458898 UYT458898:UYX458898 VIP458898:VIT458898 VSL458898:VSP458898 WCH458898:WCL458898 WMD458898:WMH458898 WVZ458898:WWD458898 R524434:V524434 JN524434:JR524434 TJ524434:TN524434 ADF524434:ADJ524434 ANB524434:ANF524434 AWX524434:AXB524434 BGT524434:BGX524434 BQP524434:BQT524434 CAL524434:CAP524434 CKH524434:CKL524434 CUD524434:CUH524434 DDZ524434:DED524434 DNV524434:DNZ524434 DXR524434:DXV524434 EHN524434:EHR524434 ERJ524434:ERN524434 FBF524434:FBJ524434 FLB524434:FLF524434 FUX524434:FVB524434 GET524434:GEX524434 GOP524434:GOT524434 GYL524434:GYP524434 HIH524434:HIL524434 HSD524434:HSH524434 IBZ524434:ICD524434 ILV524434:ILZ524434 IVR524434:IVV524434 JFN524434:JFR524434 JPJ524434:JPN524434 JZF524434:JZJ524434 KJB524434:KJF524434 KSX524434:KTB524434 LCT524434:LCX524434 LMP524434:LMT524434 LWL524434:LWP524434 MGH524434:MGL524434 MQD524434:MQH524434 MZZ524434:NAD524434 NJV524434:NJZ524434 NTR524434:NTV524434 ODN524434:ODR524434 ONJ524434:ONN524434 OXF524434:OXJ524434 PHB524434:PHF524434 PQX524434:PRB524434 QAT524434:QAX524434 QKP524434:QKT524434 QUL524434:QUP524434 REH524434:REL524434 ROD524434:ROH524434 RXZ524434:RYD524434 SHV524434:SHZ524434 SRR524434:SRV524434 TBN524434:TBR524434 TLJ524434:TLN524434 TVF524434:TVJ524434 UFB524434:UFF524434 UOX524434:UPB524434 UYT524434:UYX524434 VIP524434:VIT524434 VSL524434:VSP524434 WCH524434:WCL524434 WMD524434:WMH524434 WVZ524434:WWD524434 R589970:V589970 JN589970:JR589970 TJ589970:TN589970 ADF589970:ADJ589970 ANB589970:ANF589970 AWX589970:AXB589970 BGT589970:BGX589970 BQP589970:BQT589970 CAL589970:CAP589970 CKH589970:CKL589970 CUD589970:CUH589970 DDZ589970:DED589970 DNV589970:DNZ589970 DXR589970:DXV589970 EHN589970:EHR589970 ERJ589970:ERN589970 FBF589970:FBJ589970 FLB589970:FLF589970 FUX589970:FVB589970 GET589970:GEX589970 GOP589970:GOT589970 GYL589970:GYP589970 HIH589970:HIL589970 HSD589970:HSH589970 IBZ589970:ICD589970 ILV589970:ILZ589970 IVR589970:IVV589970 JFN589970:JFR589970 JPJ589970:JPN589970 JZF589970:JZJ589970 KJB589970:KJF589970 KSX589970:KTB589970 LCT589970:LCX589970 LMP589970:LMT589970 LWL589970:LWP589970 MGH589970:MGL589970 MQD589970:MQH589970 MZZ589970:NAD589970 NJV589970:NJZ589970 NTR589970:NTV589970 ODN589970:ODR589970 ONJ589970:ONN589970 OXF589970:OXJ589970 PHB589970:PHF589970 PQX589970:PRB589970 QAT589970:QAX589970 QKP589970:QKT589970 QUL589970:QUP589970 REH589970:REL589970 ROD589970:ROH589970 RXZ589970:RYD589970 SHV589970:SHZ589970 SRR589970:SRV589970 TBN589970:TBR589970 TLJ589970:TLN589970 TVF589970:TVJ589970 UFB589970:UFF589970 UOX589970:UPB589970 UYT589970:UYX589970 VIP589970:VIT589970 VSL589970:VSP589970 WCH589970:WCL589970 WMD589970:WMH589970 WVZ589970:WWD589970 R655506:V655506 JN655506:JR655506 TJ655506:TN655506 ADF655506:ADJ655506 ANB655506:ANF655506 AWX655506:AXB655506 BGT655506:BGX655506 BQP655506:BQT655506 CAL655506:CAP655506 CKH655506:CKL655506 CUD655506:CUH655506 DDZ655506:DED655506 DNV655506:DNZ655506 DXR655506:DXV655506 EHN655506:EHR655506 ERJ655506:ERN655506 FBF655506:FBJ655506 FLB655506:FLF655506 FUX655506:FVB655506 GET655506:GEX655506 GOP655506:GOT655506 GYL655506:GYP655506 HIH655506:HIL655506 HSD655506:HSH655506 IBZ655506:ICD655506 ILV655506:ILZ655506 IVR655506:IVV655506 JFN655506:JFR655506 JPJ655506:JPN655506 JZF655506:JZJ655506 KJB655506:KJF655506 KSX655506:KTB655506 LCT655506:LCX655506 LMP655506:LMT655506 LWL655506:LWP655506 MGH655506:MGL655506 MQD655506:MQH655506 MZZ655506:NAD655506 NJV655506:NJZ655506 NTR655506:NTV655506 ODN655506:ODR655506 ONJ655506:ONN655506 OXF655506:OXJ655506 PHB655506:PHF655506 PQX655506:PRB655506 QAT655506:QAX655506 QKP655506:QKT655506 QUL655506:QUP655506 REH655506:REL655506 ROD655506:ROH655506 RXZ655506:RYD655506 SHV655506:SHZ655506 SRR655506:SRV655506 TBN655506:TBR655506 TLJ655506:TLN655506 TVF655506:TVJ655506 UFB655506:UFF655506 UOX655506:UPB655506 UYT655506:UYX655506 VIP655506:VIT655506 VSL655506:VSP655506 WCH655506:WCL655506 WMD655506:WMH655506 WVZ655506:WWD655506 R721042:V721042 JN721042:JR721042 TJ721042:TN721042 ADF721042:ADJ721042 ANB721042:ANF721042 AWX721042:AXB721042 BGT721042:BGX721042 BQP721042:BQT721042 CAL721042:CAP721042 CKH721042:CKL721042 CUD721042:CUH721042 DDZ721042:DED721042 DNV721042:DNZ721042 DXR721042:DXV721042 EHN721042:EHR721042 ERJ721042:ERN721042 FBF721042:FBJ721042 FLB721042:FLF721042 FUX721042:FVB721042 GET721042:GEX721042 GOP721042:GOT721042 GYL721042:GYP721042 HIH721042:HIL721042 HSD721042:HSH721042 IBZ721042:ICD721042 ILV721042:ILZ721042 IVR721042:IVV721042 JFN721042:JFR721042 JPJ721042:JPN721042 JZF721042:JZJ721042 KJB721042:KJF721042 KSX721042:KTB721042 LCT721042:LCX721042 LMP721042:LMT721042 LWL721042:LWP721042 MGH721042:MGL721042 MQD721042:MQH721042 MZZ721042:NAD721042 NJV721042:NJZ721042 NTR721042:NTV721042 ODN721042:ODR721042 ONJ721042:ONN721042 OXF721042:OXJ721042 PHB721042:PHF721042 PQX721042:PRB721042 QAT721042:QAX721042 QKP721042:QKT721042 QUL721042:QUP721042 REH721042:REL721042 ROD721042:ROH721042 RXZ721042:RYD721042 SHV721042:SHZ721042 SRR721042:SRV721042 TBN721042:TBR721042 TLJ721042:TLN721042 TVF721042:TVJ721042 UFB721042:UFF721042 UOX721042:UPB721042 UYT721042:UYX721042 VIP721042:VIT721042 VSL721042:VSP721042 WCH721042:WCL721042 WMD721042:WMH721042 WVZ721042:WWD721042 R786578:V786578 JN786578:JR786578 TJ786578:TN786578 ADF786578:ADJ786578 ANB786578:ANF786578 AWX786578:AXB786578 BGT786578:BGX786578 BQP786578:BQT786578 CAL786578:CAP786578 CKH786578:CKL786578 CUD786578:CUH786578 DDZ786578:DED786578 DNV786578:DNZ786578 DXR786578:DXV786578 EHN786578:EHR786578 ERJ786578:ERN786578 FBF786578:FBJ786578 FLB786578:FLF786578 FUX786578:FVB786578 GET786578:GEX786578 GOP786578:GOT786578 GYL786578:GYP786578 HIH786578:HIL786578 HSD786578:HSH786578 IBZ786578:ICD786578 ILV786578:ILZ786578 IVR786578:IVV786578 JFN786578:JFR786578 JPJ786578:JPN786578 JZF786578:JZJ786578 KJB786578:KJF786578 KSX786578:KTB786578 LCT786578:LCX786578 LMP786578:LMT786578 LWL786578:LWP786578 MGH786578:MGL786578 MQD786578:MQH786578 MZZ786578:NAD786578 NJV786578:NJZ786578 NTR786578:NTV786578 ODN786578:ODR786578 ONJ786578:ONN786578 OXF786578:OXJ786578 PHB786578:PHF786578 PQX786578:PRB786578 QAT786578:QAX786578 QKP786578:QKT786578 QUL786578:QUP786578 REH786578:REL786578 ROD786578:ROH786578 RXZ786578:RYD786578 SHV786578:SHZ786578 SRR786578:SRV786578 TBN786578:TBR786578 TLJ786578:TLN786578 TVF786578:TVJ786578 UFB786578:UFF786578 UOX786578:UPB786578 UYT786578:UYX786578 VIP786578:VIT786578 VSL786578:VSP786578 WCH786578:WCL786578 WMD786578:WMH786578 WVZ786578:WWD786578 R852114:V852114 JN852114:JR852114 TJ852114:TN852114 ADF852114:ADJ852114 ANB852114:ANF852114 AWX852114:AXB852114 BGT852114:BGX852114 BQP852114:BQT852114 CAL852114:CAP852114 CKH852114:CKL852114 CUD852114:CUH852114 DDZ852114:DED852114 DNV852114:DNZ852114 DXR852114:DXV852114 EHN852114:EHR852114 ERJ852114:ERN852114 FBF852114:FBJ852114 FLB852114:FLF852114 FUX852114:FVB852114 GET852114:GEX852114 GOP852114:GOT852114 GYL852114:GYP852114 HIH852114:HIL852114 HSD852114:HSH852114 IBZ852114:ICD852114 ILV852114:ILZ852114 IVR852114:IVV852114 JFN852114:JFR852114 JPJ852114:JPN852114 JZF852114:JZJ852114 KJB852114:KJF852114 KSX852114:KTB852114 LCT852114:LCX852114 LMP852114:LMT852114 LWL852114:LWP852114 MGH852114:MGL852114 MQD852114:MQH852114 MZZ852114:NAD852114 NJV852114:NJZ852114 NTR852114:NTV852114 ODN852114:ODR852114 ONJ852114:ONN852114 OXF852114:OXJ852114 PHB852114:PHF852114 PQX852114:PRB852114 QAT852114:QAX852114 QKP852114:QKT852114 QUL852114:QUP852114 REH852114:REL852114 ROD852114:ROH852114 RXZ852114:RYD852114 SHV852114:SHZ852114 SRR852114:SRV852114 TBN852114:TBR852114 TLJ852114:TLN852114 TVF852114:TVJ852114 UFB852114:UFF852114 UOX852114:UPB852114 UYT852114:UYX852114 VIP852114:VIT852114 VSL852114:VSP852114 WCH852114:WCL852114 WMD852114:WMH852114 WVZ852114:WWD852114 R917650:V917650 JN917650:JR917650 TJ917650:TN917650 ADF917650:ADJ917650 ANB917650:ANF917650 AWX917650:AXB917650 BGT917650:BGX917650 BQP917650:BQT917650 CAL917650:CAP917650 CKH917650:CKL917650 CUD917650:CUH917650 DDZ917650:DED917650 DNV917650:DNZ917650 DXR917650:DXV917650 EHN917650:EHR917650 ERJ917650:ERN917650 FBF917650:FBJ917650 FLB917650:FLF917650 FUX917650:FVB917650 GET917650:GEX917650 GOP917650:GOT917650 GYL917650:GYP917650 HIH917650:HIL917650 HSD917650:HSH917650 IBZ917650:ICD917650 ILV917650:ILZ917650 IVR917650:IVV917650 JFN917650:JFR917650 JPJ917650:JPN917650 JZF917650:JZJ917650 KJB917650:KJF917650 KSX917650:KTB917650 LCT917650:LCX917650 LMP917650:LMT917650 LWL917650:LWP917650 MGH917650:MGL917650 MQD917650:MQH917650 MZZ917650:NAD917650 NJV917650:NJZ917650 NTR917650:NTV917650 ODN917650:ODR917650 ONJ917650:ONN917650 OXF917650:OXJ917650 PHB917650:PHF917650 PQX917650:PRB917650 QAT917650:QAX917650 QKP917650:QKT917650 QUL917650:QUP917650 REH917650:REL917650 ROD917650:ROH917650 RXZ917650:RYD917650 SHV917650:SHZ917650 SRR917650:SRV917650 TBN917650:TBR917650 TLJ917650:TLN917650 TVF917650:TVJ917650 UFB917650:UFF917650 UOX917650:UPB917650 UYT917650:UYX917650 VIP917650:VIT917650 VSL917650:VSP917650 WCH917650:WCL917650 WMD917650:WMH917650 WVZ917650:WWD917650 R983186:V983186 JN983186:JR983186 TJ983186:TN983186 ADF983186:ADJ983186 ANB983186:ANF983186 AWX983186:AXB983186 BGT983186:BGX983186 BQP983186:BQT983186 CAL983186:CAP983186 CKH983186:CKL983186 CUD983186:CUH983186 DDZ983186:DED983186 DNV983186:DNZ983186 DXR983186:DXV983186 EHN983186:EHR983186 ERJ983186:ERN983186 FBF983186:FBJ983186 FLB983186:FLF983186 FUX983186:FVB983186 GET983186:GEX983186 GOP983186:GOT983186 GYL983186:GYP983186 HIH983186:HIL983186 HSD983186:HSH983186 IBZ983186:ICD983186 ILV983186:ILZ983186 IVR983186:IVV983186 JFN983186:JFR983186 JPJ983186:JPN983186 JZF983186:JZJ983186 KJB983186:KJF983186 KSX983186:KTB983186 LCT983186:LCX983186 LMP983186:LMT983186 LWL983186:LWP983186 MGH983186:MGL983186 MQD983186:MQH983186 MZZ983186:NAD983186 NJV983186:NJZ983186 NTR983186:NTV983186 ODN983186:ODR983186 ONJ983186:ONN983186 OXF983186:OXJ983186 PHB983186:PHF983186 PQX983186:PRB983186 QAT983186:QAX983186 QKP983186:QKT983186 QUL983186:QUP983186 REH983186:REL983186 ROD983186:ROH983186 RXZ983186:RYD983186 SHV983186:SHZ983186 SRR983186:SRV983186 TBN983186:TBR983186 TLJ983186:TLN983186 TVF983186:TVJ983186 UFB983186:UFF983186 UOX983186:UPB983186 UYT983186:UYX983186 VIP983186:VIT983186 VSL983186:VSP983186 WCH983186:WCL983186 WMD983186:WMH983186 WVZ983186:WWD983186 G151:W151 JC151:JS151 SY151:TO151 ACU151:ADK151 AMQ151:ANG151 AWM151:AXC151 BGI151:BGY151 BQE151:BQU151 CAA151:CAQ151 CJW151:CKM151 CTS151:CUI151 DDO151:DEE151 DNK151:DOA151 DXG151:DXW151 EHC151:EHS151 EQY151:ERO151 FAU151:FBK151 FKQ151:FLG151 FUM151:FVC151 GEI151:GEY151 GOE151:GOU151 GYA151:GYQ151 HHW151:HIM151 HRS151:HSI151 IBO151:ICE151 ILK151:IMA151 IVG151:IVW151 JFC151:JFS151 JOY151:JPO151 JYU151:JZK151 KIQ151:KJG151 KSM151:KTC151 LCI151:LCY151 LME151:LMU151 LWA151:LWQ151 MFW151:MGM151 MPS151:MQI151 MZO151:NAE151 NJK151:NKA151 NTG151:NTW151 ODC151:ODS151 OMY151:ONO151 OWU151:OXK151 PGQ151:PHG151 PQM151:PRC151 QAI151:QAY151 QKE151:QKU151 QUA151:QUQ151 RDW151:REM151 RNS151:ROI151 RXO151:RYE151 SHK151:SIA151 SRG151:SRW151 TBC151:TBS151 TKY151:TLO151 TUU151:TVK151 UEQ151:UFG151 UOM151:UPC151 UYI151:UYY151 VIE151:VIU151 VSA151:VSQ151 WBW151:WCM151 WLS151:WMI151 WVO151:WWE151 G65687:W65687 JC65687:JS65687 SY65687:TO65687 ACU65687:ADK65687 AMQ65687:ANG65687 AWM65687:AXC65687 BGI65687:BGY65687 BQE65687:BQU65687 CAA65687:CAQ65687 CJW65687:CKM65687 CTS65687:CUI65687 DDO65687:DEE65687 DNK65687:DOA65687 DXG65687:DXW65687 EHC65687:EHS65687 EQY65687:ERO65687 FAU65687:FBK65687 FKQ65687:FLG65687 FUM65687:FVC65687 GEI65687:GEY65687 GOE65687:GOU65687 GYA65687:GYQ65687 HHW65687:HIM65687 HRS65687:HSI65687 IBO65687:ICE65687 ILK65687:IMA65687 IVG65687:IVW65687 JFC65687:JFS65687 JOY65687:JPO65687 JYU65687:JZK65687 KIQ65687:KJG65687 KSM65687:KTC65687 LCI65687:LCY65687 LME65687:LMU65687 LWA65687:LWQ65687 MFW65687:MGM65687 MPS65687:MQI65687 MZO65687:NAE65687 NJK65687:NKA65687 NTG65687:NTW65687 ODC65687:ODS65687 OMY65687:ONO65687 OWU65687:OXK65687 PGQ65687:PHG65687 PQM65687:PRC65687 QAI65687:QAY65687 QKE65687:QKU65687 QUA65687:QUQ65687 RDW65687:REM65687 RNS65687:ROI65687 RXO65687:RYE65687 SHK65687:SIA65687 SRG65687:SRW65687 TBC65687:TBS65687 TKY65687:TLO65687 TUU65687:TVK65687 UEQ65687:UFG65687 UOM65687:UPC65687 UYI65687:UYY65687 VIE65687:VIU65687 VSA65687:VSQ65687 WBW65687:WCM65687 WLS65687:WMI65687 WVO65687:WWE65687 G131223:W131223 JC131223:JS131223 SY131223:TO131223 ACU131223:ADK131223 AMQ131223:ANG131223 AWM131223:AXC131223 BGI131223:BGY131223 BQE131223:BQU131223 CAA131223:CAQ131223 CJW131223:CKM131223 CTS131223:CUI131223 DDO131223:DEE131223 DNK131223:DOA131223 DXG131223:DXW131223 EHC131223:EHS131223 EQY131223:ERO131223 FAU131223:FBK131223 FKQ131223:FLG131223 FUM131223:FVC131223 GEI131223:GEY131223 GOE131223:GOU131223 GYA131223:GYQ131223 HHW131223:HIM131223 HRS131223:HSI131223 IBO131223:ICE131223 ILK131223:IMA131223 IVG131223:IVW131223 JFC131223:JFS131223 JOY131223:JPO131223 JYU131223:JZK131223 KIQ131223:KJG131223 KSM131223:KTC131223 LCI131223:LCY131223 LME131223:LMU131223 LWA131223:LWQ131223 MFW131223:MGM131223 MPS131223:MQI131223 MZO131223:NAE131223 NJK131223:NKA131223 NTG131223:NTW131223 ODC131223:ODS131223 OMY131223:ONO131223 OWU131223:OXK131223 PGQ131223:PHG131223 PQM131223:PRC131223 QAI131223:QAY131223 QKE131223:QKU131223 QUA131223:QUQ131223 RDW131223:REM131223 RNS131223:ROI131223 RXO131223:RYE131223 SHK131223:SIA131223 SRG131223:SRW131223 TBC131223:TBS131223 TKY131223:TLO131223 TUU131223:TVK131223 UEQ131223:UFG131223 UOM131223:UPC131223 UYI131223:UYY131223 VIE131223:VIU131223 VSA131223:VSQ131223 WBW131223:WCM131223 WLS131223:WMI131223 WVO131223:WWE131223 G196759:W196759 JC196759:JS196759 SY196759:TO196759 ACU196759:ADK196759 AMQ196759:ANG196759 AWM196759:AXC196759 BGI196759:BGY196759 BQE196759:BQU196759 CAA196759:CAQ196759 CJW196759:CKM196759 CTS196759:CUI196759 DDO196759:DEE196759 DNK196759:DOA196759 DXG196759:DXW196759 EHC196759:EHS196759 EQY196759:ERO196759 FAU196759:FBK196759 FKQ196759:FLG196759 FUM196759:FVC196759 GEI196759:GEY196759 GOE196759:GOU196759 GYA196759:GYQ196759 HHW196759:HIM196759 HRS196759:HSI196759 IBO196759:ICE196759 ILK196759:IMA196759 IVG196759:IVW196759 JFC196759:JFS196759 JOY196759:JPO196759 JYU196759:JZK196759 KIQ196759:KJG196759 KSM196759:KTC196759 LCI196759:LCY196759 LME196759:LMU196759 LWA196759:LWQ196759 MFW196759:MGM196759 MPS196759:MQI196759 MZO196759:NAE196759 NJK196759:NKA196759 NTG196759:NTW196759 ODC196759:ODS196759 OMY196759:ONO196759 OWU196759:OXK196759 PGQ196759:PHG196759 PQM196759:PRC196759 QAI196759:QAY196759 QKE196759:QKU196759 QUA196759:QUQ196759 RDW196759:REM196759 RNS196759:ROI196759 RXO196759:RYE196759 SHK196759:SIA196759 SRG196759:SRW196759 TBC196759:TBS196759 TKY196759:TLO196759 TUU196759:TVK196759 UEQ196759:UFG196759 UOM196759:UPC196759 UYI196759:UYY196759 VIE196759:VIU196759 VSA196759:VSQ196759 WBW196759:WCM196759 WLS196759:WMI196759 WVO196759:WWE196759 G262295:W262295 JC262295:JS262295 SY262295:TO262295 ACU262295:ADK262295 AMQ262295:ANG262295 AWM262295:AXC262295 BGI262295:BGY262295 BQE262295:BQU262295 CAA262295:CAQ262295 CJW262295:CKM262295 CTS262295:CUI262295 DDO262295:DEE262295 DNK262295:DOA262295 DXG262295:DXW262295 EHC262295:EHS262295 EQY262295:ERO262295 FAU262295:FBK262295 FKQ262295:FLG262295 FUM262295:FVC262295 GEI262295:GEY262295 GOE262295:GOU262295 GYA262295:GYQ262295 HHW262295:HIM262295 HRS262295:HSI262295 IBO262295:ICE262295 ILK262295:IMA262295 IVG262295:IVW262295 JFC262295:JFS262295 JOY262295:JPO262295 JYU262295:JZK262295 KIQ262295:KJG262295 KSM262295:KTC262295 LCI262295:LCY262295 LME262295:LMU262295 LWA262295:LWQ262295 MFW262295:MGM262295 MPS262295:MQI262295 MZO262295:NAE262295 NJK262295:NKA262295 NTG262295:NTW262295 ODC262295:ODS262295 OMY262295:ONO262295 OWU262295:OXK262295 PGQ262295:PHG262295 PQM262295:PRC262295 QAI262295:QAY262295 QKE262295:QKU262295 QUA262295:QUQ262295 RDW262295:REM262295 RNS262295:ROI262295 RXO262295:RYE262295 SHK262295:SIA262295 SRG262295:SRW262295 TBC262295:TBS262295 TKY262295:TLO262295 TUU262295:TVK262295 UEQ262295:UFG262295 UOM262295:UPC262295 UYI262295:UYY262295 VIE262295:VIU262295 VSA262295:VSQ262295 WBW262295:WCM262295 WLS262295:WMI262295 WVO262295:WWE262295 G327831:W327831 JC327831:JS327831 SY327831:TO327831 ACU327831:ADK327831 AMQ327831:ANG327831 AWM327831:AXC327831 BGI327831:BGY327831 BQE327831:BQU327831 CAA327831:CAQ327831 CJW327831:CKM327831 CTS327831:CUI327831 DDO327831:DEE327831 DNK327831:DOA327831 DXG327831:DXW327831 EHC327831:EHS327831 EQY327831:ERO327831 FAU327831:FBK327831 FKQ327831:FLG327831 FUM327831:FVC327831 GEI327831:GEY327831 GOE327831:GOU327831 GYA327831:GYQ327831 HHW327831:HIM327831 HRS327831:HSI327831 IBO327831:ICE327831 ILK327831:IMA327831 IVG327831:IVW327831 JFC327831:JFS327831 JOY327831:JPO327831 JYU327831:JZK327831 KIQ327831:KJG327831 KSM327831:KTC327831 LCI327831:LCY327831 LME327831:LMU327831 LWA327831:LWQ327831 MFW327831:MGM327831 MPS327831:MQI327831 MZO327831:NAE327831 NJK327831:NKA327831 NTG327831:NTW327831 ODC327831:ODS327831 OMY327831:ONO327831 OWU327831:OXK327831 PGQ327831:PHG327831 PQM327831:PRC327831 QAI327831:QAY327831 QKE327831:QKU327831 QUA327831:QUQ327831 RDW327831:REM327831 RNS327831:ROI327831 RXO327831:RYE327831 SHK327831:SIA327831 SRG327831:SRW327831 TBC327831:TBS327831 TKY327831:TLO327831 TUU327831:TVK327831 UEQ327831:UFG327831 UOM327831:UPC327831 UYI327831:UYY327831 VIE327831:VIU327831 VSA327831:VSQ327831 WBW327831:WCM327831 WLS327831:WMI327831 WVO327831:WWE327831 G393367:W393367 JC393367:JS393367 SY393367:TO393367 ACU393367:ADK393367 AMQ393367:ANG393367 AWM393367:AXC393367 BGI393367:BGY393367 BQE393367:BQU393367 CAA393367:CAQ393367 CJW393367:CKM393367 CTS393367:CUI393367 DDO393367:DEE393367 DNK393367:DOA393367 DXG393367:DXW393367 EHC393367:EHS393367 EQY393367:ERO393367 FAU393367:FBK393367 FKQ393367:FLG393367 FUM393367:FVC393367 GEI393367:GEY393367 GOE393367:GOU393367 GYA393367:GYQ393367 HHW393367:HIM393367 HRS393367:HSI393367 IBO393367:ICE393367 ILK393367:IMA393367 IVG393367:IVW393367 JFC393367:JFS393367 JOY393367:JPO393367 JYU393367:JZK393367 KIQ393367:KJG393367 KSM393367:KTC393367 LCI393367:LCY393367 LME393367:LMU393367 LWA393367:LWQ393367 MFW393367:MGM393367 MPS393367:MQI393367 MZO393367:NAE393367 NJK393367:NKA393367 NTG393367:NTW393367 ODC393367:ODS393367 OMY393367:ONO393367 OWU393367:OXK393367 PGQ393367:PHG393367 PQM393367:PRC393367 QAI393367:QAY393367 QKE393367:QKU393367 QUA393367:QUQ393367 RDW393367:REM393367 RNS393367:ROI393367 RXO393367:RYE393367 SHK393367:SIA393367 SRG393367:SRW393367 TBC393367:TBS393367 TKY393367:TLO393367 TUU393367:TVK393367 UEQ393367:UFG393367 UOM393367:UPC393367 UYI393367:UYY393367 VIE393367:VIU393367 VSA393367:VSQ393367 WBW393367:WCM393367 WLS393367:WMI393367 WVO393367:WWE393367 G458903:W458903 JC458903:JS458903 SY458903:TO458903 ACU458903:ADK458903 AMQ458903:ANG458903 AWM458903:AXC458903 BGI458903:BGY458903 BQE458903:BQU458903 CAA458903:CAQ458903 CJW458903:CKM458903 CTS458903:CUI458903 DDO458903:DEE458903 DNK458903:DOA458903 DXG458903:DXW458903 EHC458903:EHS458903 EQY458903:ERO458903 FAU458903:FBK458903 FKQ458903:FLG458903 FUM458903:FVC458903 GEI458903:GEY458903 GOE458903:GOU458903 GYA458903:GYQ458903 HHW458903:HIM458903 HRS458903:HSI458903 IBO458903:ICE458903 ILK458903:IMA458903 IVG458903:IVW458903 JFC458903:JFS458903 JOY458903:JPO458903 JYU458903:JZK458903 KIQ458903:KJG458903 KSM458903:KTC458903 LCI458903:LCY458903 LME458903:LMU458903 LWA458903:LWQ458903 MFW458903:MGM458903 MPS458903:MQI458903 MZO458903:NAE458903 NJK458903:NKA458903 NTG458903:NTW458903 ODC458903:ODS458903 OMY458903:ONO458903 OWU458903:OXK458903 PGQ458903:PHG458903 PQM458903:PRC458903 QAI458903:QAY458903 QKE458903:QKU458903 QUA458903:QUQ458903 RDW458903:REM458903 RNS458903:ROI458903 RXO458903:RYE458903 SHK458903:SIA458903 SRG458903:SRW458903 TBC458903:TBS458903 TKY458903:TLO458903 TUU458903:TVK458903 UEQ458903:UFG458903 UOM458903:UPC458903 UYI458903:UYY458903 VIE458903:VIU458903 VSA458903:VSQ458903 WBW458903:WCM458903 WLS458903:WMI458903 WVO458903:WWE458903 G524439:W524439 JC524439:JS524439 SY524439:TO524439 ACU524439:ADK524439 AMQ524439:ANG524439 AWM524439:AXC524439 BGI524439:BGY524439 BQE524439:BQU524439 CAA524439:CAQ524439 CJW524439:CKM524439 CTS524439:CUI524439 DDO524439:DEE524439 DNK524439:DOA524439 DXG524439:DXW524439 EHC524439:EHS524439 EQY524439:ERO524439 FAU524439:FBK524439 FKQ524439:FLG524439 FUM524439:FVC524439 GEI524439:GEY524439 GOE524439:GOU524439 GYA524439:GYQ524439 HHW524439:HIM524439 HRS524439:HSI524439 IBO524439:ICE524439 ILK524439:IMA524439 IVG524439:IVW524439 JFC524439:JFS524439 JOY524439:JPO524439 JYU524439:JZK524439 KIQ524439:KJG524439 KSM524439:KTC524439 LCI524439:LCY524439 LME524439:LMU524439 LWA524439:LWQ524439 MFW524439:MGM524439 MPS524439:MQI524439 MZO524439:NAE524439 NJK524439:NKA524439 NTG524439:NTW524439 ODC524439:ODS524439 OMY524439:ONO524439 OWU524439:OXK524439 PGQ524439:PHG524439 PQM524439:PRC524439 QAI524439:QAY524439 QKE524439:QKU524439 QUA524439:QUQ524439 RDW524439:REM524439 RNS524439:ROI524439 RXO524439:RYE524439 SHK524439:SIA524439 SRG524439:SRW524439 TBC524439:TBS524439 TKY524439:TLO524439 TUU524439:TVK524439 UEQ524439:UFG524439 UOM524439:UPC524439 UYI524439:UYY524439 VIE524439:VIU524439 VSA524439:VSQ524439 WBW524439:WCM524439 WLS524439:WMI524439 WVO524439:WWE524439 G589975:W589975 JC589975:JS589975 SY589975:TO589975 ACU589975:ADK589975 AMQ589975:ANG589975 AWM589975:AXC589975 BGI589975:BGY589975 BQE589975:BQU589975 CAA589975:CAQ589975 CJW589975:CKM589975 CTS589975:CUI589975 DDO589975:DEE589975 DNK589975:DOA589975 DXG589975:DXW589975 EHC589975:EHS589975 EQY589975:ERO589975 FAU589975:FBK589975 FKQ589975:FLG589975 FUM589975:FVC589975 GEI589975:GEY589975 GOE589975:GOU589975 GYA589975:GYQ589975 HHW589975:HIM589975 HRS589975:HSI589975 IBO589975:ICE589975 ILK589975:IMA589975 IVG589975:IVW589975 JFC589975:JFS589975 JOY589975:JPO589975 JYU589975:JZK589975 KIQ589975:KJG589975 KSM589975:KTC589975 LCI589975:LCY589975 LME589975:LMU589975 LWA589975:LWQ589975 MFW589975:MGM589975 MPS589975:MQI589975 MZO589975:NAE589975 NJK589975:NKA589975 NTG589975:NTW589975 ODC589975:ODS589975 OMY589975:ONO589975 OWU589975:OXK589975 PGQ589975:PHG589975 PQM589975:PRC589975 QAI589975:QAY589975 QKE589975:QKU589975 QUA589975:QUQ589975 RDW589975:REM589975 RNS589975:ROI589975 RXO589975:RYE589975 SHK589975:SIA589975 SRG589975:SRW589975 TBC589975:TBS589975 TKY589975:TLO589975 TUU589975:TVK589975 UEQ589975:UFG589975 UOM589975:UPC589975 UYI589975:UYY589975 VIE589975:VIU589975 VSA589975:VSQ589975 WBW589975:WCM589975 WLS589975:WMI589975 WVO589975:WWE589975 G655511:W655511 JC655511:JS655511 SY655511:TO655511 ACU655511:ADK655511 AMQ655511:ANG655511 AWM655511:AXC655511 BGI655511:BGY655511 BQE655511:BQU655511 CAA655511:CAQ655511 CJW655511:CKM655511 CTS655511:CUI655511 DDO655511:DEE655511 DNK655511:DOA655511 DXG655511:DXW655511 EHC655511:EHS655511 EQY655511:ERO655511 FAU655511:FBK655511 FKQ655511:FLG655511 FUM655511:FVC655511 GEI655511:GEY655511 GOE655511:GOU655511 GYA655511:GYQ655511 HHW655511:HIM655511 HRS655511:HSI655511 IBO655511:ICE655511 ILK655511:IMA655511 IVG655511:IVW655511 JFC655511:JFS655511 JOY655511:JPO655511 JYU655511:JZK655511 KIQ655511:KJG655511 KSM655511:KTC655511 LCI655511:LCY655511 LME655511:LMU655511 LWA655511:LWQ655511 MFW655511:MGM655511 MPS655511:MQI655511 MZO655511:NAE655511 NJK655511:NKA655511 NTG655511:NTW655511 ODC655511:ODS655511 OMY655511:ONO655511 OWU655511:OXK655511 PGQ655511:PHG655511 PQM655511:PRC655511 QAI655511:QAY655511 QKE655511:QKU655511 QUA655511:QUQ655511 RDW655511:REM655511 RNS655511:ROI655511 RXO655511:RYE655511 SHK655511:SIA655511 SRG655511:SRW655511 TBC655511:TBS655511 TKY655511:TLO655511 TUU655511:TVK655511 UEQ655511:UFG655511 UOM655511:UPC655511 UYI655511:UYY655511 VIE655511:VIU655511 VSA655511:VSQ655511 WBW655511:WCM655511 WLS655511:WMI655511 WVO655511:WWE655511 G721047:W721047 JC721047:JS721047 SY721047:TO721047 ACU721047:ADK721047 AMQ721047:ANG721047 AWM721047:AXC721047 BGI721047:BGY721047 BQE721047:BQU721047 CAA721047:CAQ721047 CJW721047:CKM721047 CTS721047:CUI721047 DDO721047:DEE721047 DNK721047:DOA721047 DXG721047:DXW721047 EHC721047:EHS721047 EQY721047:ERO721047 FAU721047:FBK721047 FKQ721047:FLG721047 FUM721047:FVC721047 GEI721047:GEY721047 GOE721047:GOU721047 GYA721047:GYQ721047 HHW721047:HIM721047 HRS721047:HSI721047 IBO721047:ICE721047 ILK721047:IMA721047 IVG721047:IVW721047 JFC721047:JFS721047 JOY721047:JPO721047 JYU721047:JZK721047 KIQ721047:KJG721047 KSM721047:KTC721047 LCI721047:LCY721047 LME721047:LMU721047 LWA721047:LWQ721047 MFW721047:MGM721047 MPS721047:MQI721047 MZO721047:NAE721047 NJK721047:NKA721047 NTG721047:NTW721047 ODC721047:ODS721047 OMY721047:ONO721047 OWU721047:OXK721047 PGQ721047:PHG721047 PQM721047:PRC721047 QAI721047:QAY721047 QKE721047:QKU721047 QUA721047:QUQ721047 RDW721047:REM721047 RNS721047:ROI721047 RXO721047:RYE721047 SHK721047:SIA721047 SRG721047:SRW721047 TBC721047:TBS721047 TKY721047:TLO721047 TUU721047:TVK721047 UEQ721047:UFG721047 UOM721047:UPC721047 UYI721047:UYY721047 VIE721047:VIU721047 VSA721047:VSQ721047 WBW721047:WCM721047 WLS721047:WMI721047 WVO721047:WWE721047 G786583:W786583 JC786583:JS786583 SY786583:TO786583 ACU786583:ADK786583 AMQ786583:ANG786583 AWM786583:AXC786583 BGI786583:BGY786583 BQE786583:BQU786583 CAA786583:CAQ786583 CJW786583:CKM786583 CTS786583:CUI786583 DDO786583:DEE786583 DNK786583:DOA786583 DXG786583:DXW786583 EHC786583:EHS786583 EQY786583:ERO786583 FAU786583:FBK786583 FKQ786583:FLG786583 FUM786583:FVC786583 GEI786583:GEY786583 GOE786583:GOU786583 GYA786583:GYQ786583 HHW786583:HIM786583 HRS786583:HSI786583 IBO786583:ICE786583 ILK786583:IMA786583 IVG786583:IVW786583 JFC786583:JFS786583 JOY786583:JPO786583 JYU786583:JZK786583 KIQ786583:KJG786583 KSM786583:KTC786583 LCI786583:LCY786583 LME786583:LMU786583 LWA786583:LWQ786583 MFW786583:MGM786583 MPS786583:MQI786583 MZO786583:NAE786583 NJK786583:NKA786583 NTG786583:NTW786583 ODC786583:ODS786583 OMY786583:ONO786583 OWU786583:OXK786583 PGQ786583:PHG786583 PQM786583:PRC786583 QAI786583:QAY786583 QKE786583:QKU786583 QUA786583:QUQ786583 RDW786583:REM786583 RNS786583:ROI786583 RXO786583:RYE786583 SHK786583:SIA786583 SRG786583:SRW786583 TBC786583:TBS786583 TKY786583:TLO786583 TUU786583:TVK786583 UEQ786583:UFG786583 UOM786583:UPC786583 UYI786583:UYY786583 VIE786583:VIU786583 VSA786583:VSQ786583 WBW786583:WCM786583 WLS786583:WMI786583 WVO786583:WWE786583 G852119:W852119 JC852119:JS852119 SY852119:TO852119 ACU852119:ADK852119 AMQ852119:ANG852119 AWM852119:AXC852119 BGI852119:BGY852119 BQE852119:BQU852119 CAA852119:CAQ852119 CJW852119:CKM852119 CTS852119:CUI852119 DDO852119:DEE852119 DNK852119:DOA852119 DXG852119:DXW852119 EHC852119:EHS852119 EQY852119:ERO852119 FAU852119:FBK852119 FKQ852119:FLG852119 FUM852119:FVC852119 GEI852119:GEY852119 GOE852119:GOU852119 GYA852119:GYQ852119 HHW852119:HIM852119 HRS852119:HSI852119 IBO852119:ICE852119 ILK852119:IMA852119 IVG852119:IVW852119 JFC852119:JFS852119 JOY852119:JPO852119 JYU852119:JZK852119 KIQ852119:KJG852119 KSM852119:KTC852119 LCI852119:LCY852119 LME852119:LMU852119 LWA852119:LWQ852119 MFW852119:MGM852119 MPS852119:MQI852119 MZO852119:NAE852119 NJK852119:NKA852119 NTG852119:NTW852119 ODC852119:ODS852119 OMY852119:ONO852119 OWU852119:OXK852119 PGQ852119:PHG852119 PQM852119:PRC852119 QAI852119:QAY852119 QKE852119:QKU852119 QUA852119:QUQ852119 RDW852119:REM852119 RNS852119:ROI852119 RXO852119:RYE852119 SHK852119:SIA852119 SRG852119:SRW852119 TBC852119:TBS852119 TKY852119:TLO852119 TUU852119:TVK852119 UEQ852119:UFG852119 UOM852119:UPC852119 UYI852119:UYY852119 VIE852119:VIU852119 VSA852119:VSQ852119 WBW852119:WCM852119 WLS852119:WMI852119 WVO852119:WWE852119 G917655:W917655 JC917655:JS917655 SY917655:TO917655 ACU917655:ADK917655 AMQ917655:ANG917655 AWM917655:AXC917655 BGI917655:BGY917655 BQE917655:BQU917655 CAA917655:CAQ917655 CJW917655:CKM917655 CTS917655:CUI917655 DDO917655:DEE917655 DNK917655:DOA917655 DXG917655:DXW917655 EHC917655:EHS917655 EQY917655:ERO917655 FAU917655:FBK917655 FKQ917655:FLG917655 FUM917655:FVC917655 GEI917655:GEY917655 GOE917655:GOU917655 GYA917655:GYQ917655 HHW917655:HIM917655 HRS917655:HSI917655 IBO917655:ICE917655 ILK917655:IMA917655 IVG917655:IVW917655 JFC917655:JFS917655 JOY917655:JPO917655 JYU917655:JZK917655 KIQ917655:KJG917655 KSM917655:KTC917655 LCI917655:LCY917655 LME917655:LMU917655 LWA917655:LWQ917655 MFW917655:MGM917655 MPS917655:MQI917655 MZO917655:NAE917655 NJK917655:NKA917655 NTG917655:NTW917655 ODC917655:ODS917655 OMY917655:ONO917655 OWU917655:OXK917655 PGQ917655:PHG917655 PQM917655:PRC917655 QAI917655:QAY917655 QKE917655:QKU917655 QUA917655:QUQ917655 RDW917655:REM917655 RNS917655:ROI917655 RXO917655:RYE917655 SHK917655:SIA917655 SRG917655:SRW917655 TBC917655:TBS917655 TKY917655:TLO917655 TUU917655:TVK917655 UEQ917655:UFG917655 UOM917655:UPC917655 UYI917655:UYY917655 VIE917655:VIU917655 VSA917655:VSQ917655 WBW917655:WCM917655 WLS917655:WMI917655 WVO917655:WWE917655 G983191:W983191 JC983191:JS983191 SY983191:TO983191 ACU983191:ADK983191 AMQ983191:ANG983191 AWM983191:AXC983191 BGI983191:BGY983191 BQE983191:BQU983191 CAA983191:CAQ983191 CJW983191:CKM983191 CTS983191:CUI983191 DDO983191:DEE983191 DNK983191:DOA983191 DXG983191:DXW983191 EHC983191:EHS983191 EQY983191:ERO983191 FAU983191:FBK983191 FKQ983191:FLG983191 FUM983191:FVC983191 GEI983191:GEY983191 GOE983191:GOU983191 GYA983191:GYQ983191 HHW983191:HIM983191 HRS983191:HSI983191 IBO983191:ICE983191 ILK983191:IMA983191 IVG983191:IVW983191 JFC983191:JFS983191 JOY983191:JPO983191 JYU983191:JZK983191 KIQ983191:KJG983191 KSM983191:KTC983191 LCI983191:LCY983191 LME983191:LMU983191 LWA983191:LWQ983191 MFW983191:MGM983191 MPS983191:MQI983191 MZO983191:NAE983191 NJK983191:NKA983191 NTG983191:NTW983191 ODC983191:ODS983191 OMY983191:ONO983191 OWU983191:OXK983191 PGQ983191:PHG983191 PQM983191:PRC983191 QAI983191:QAY983191 QKE983191:QKU983191 QUA983191:QUQ983191 RDW983191:REM983191 RNS983191:ROI983191 RXO983191:RYE983191 SHK983191:SIA983191 SRG983191:SRW983191 TBC983191:TBS983191 TKY983191:TLO983191 TUU983191:TVK983191 UEQ983191:UFG983191 UOM983191:UPC983191 UYI983191:UYY983191 VIE983191:VIU983191 VSA983191:VSQ983191 WBW983191:WCM983191 WLS983191:WMI983191 WVO983191:WWE983191 Q144:V144 JM144:JR144 TI144:TN144 ADE144:ADJ144 ANA144:ANF144 AWW144:AXB144 BGS144:BGX144 BQO144:BQT144 CAK144:CAP144 CKG144:CKL144 CUC144:CUH144 DDY144:DED144 DNU144:DNZ144 DXQ144:DXV144 EHM144:EHR144 ERI144:ERN144 FBE144:FBJ144 FLA144:FLF144 FUW144:FVB144 GES144:GEX144 GOO144:GOT144 GYK144:GYP144 HIG144:HIL144 HSC144:HSH144 IBY144:ICD144 ILU144:ILZ144 IVQ144:IVV144 JFM144:JFR144 JPI144:JPN144 JZE144:JZJ144 KJA144:KJF144 KSW144:KTB144 LCS144:LCX144 LMO144:LMT144 LWK144:LWP144 MGG144:MGL144 MQC144:MQH144 MZY144:NAD144 NJU144:NJZ144 NTQ144:NTV144 ODM144:ODR144 ONI144:ONN144 OXE144:OXJ144 PHA144:PHF144 PQW144:PRB144 QAS144:QAX144 QKO144:QKT144 QUK144:QUP144 REG144:REL144 ROC144:ROH144 RXY144:RYD144 SHU144:SHZ144 SRQ144:SRV144 TBM144:TBR144 TLI144:TLN144 TVE144:TVJ144 UFA144:UFF144 UOW144:UPB144 UYS144:UYX144 VIO144:VIT144 VSK144:VSP144 WCG144:WCL144 WMC144:WMH144 WVY144:WWD144 Q65680:V65680 JM65680:JR65680 TI65680:TN65680 ADE65680:ADJ65680 ANA65680:ANF65680 AWW65680:AXB65680 BGS65680:BGX65680 BQO65680:BQT65680 CAK65680:CAP65680 CKG65680:CKL65680 CUC65680:CUH65680 DDY65680:DED65680 DNU65680:DNZ65680 DXQ65680:DXV65680 EHM65680:EHR65680 ERI65680:ERN65680 FBE65680:FBJ65680 FLA65680:FLF65680 FUW65680:FVB65680 GES65680:GEX65680 GOO65680:GOT65680 GYK65680:GYP65680 HIG65680:HIL65680 HSC65680:HSH65680 IBY65680:ICD65680 ILU65680:ILZ65680 IVQ65680:IVV65680 JFM65680:JFR65680 JPI65680:JPN65680 JZE65680:JZJ65680 KJA65680:KJF65680 KSW65680:KTB65680 LCS65680:LCX65680 LMO65680:LMT65680 LWK65680:LWP65680 MGG65680:MGL65680 MQC65680:MQH65680 MZY65680:NAD65680 NJU65680:NJZ65680 NTQ65680:NTV65680 ODM65680:ODR65680 ONI65680:ONN65680 OXE65680:OXJ65680 PHA65680:PHF65680 PQW65680:PRB65680 QAS65680:QAX65680 QKO65680:QKT65680 QUK65680:QUP65680 REG65680:REL65680 ROC65680:ROH65680 RXY65680:RYD65680 SHU65680:SHZ65680 SRQ65680:SRV65680 TBM65680:TBR65680 TLI65680:TLN65680 TVE65680:TVJ65680 UFA65680:UFF65680 UOW65680:UPB65680 UYS65680:UYX65680 VIO65680:VIT65680 VSK65680:VSP65680 WCG65680:WCL65680 WMC65680:WMH65680 WVY65680:WWD65680 Q131216:V131216 JM131216:JR131216 TI131216:TN131216 ADE131216:ADJ131216 ANA131216:ANF131216 AWW131216:AXB131216 BGS131216:BGX131216 BQO131216:BQT131216 CAK131216:CAP131216 CKG131216:CKL131216 CUC131216:CUH131216 DDY131216:DED131216 DNU131216:DNZ131216 DXQ131216:DXV131216 EHM131216:EHR131216 ERI131216:ERN131216 FBE131216:FBJ131216 FLA131216:FLF131216 FUW131216:FVB131216 GES131216:GEX131216 GOO131216:GOT131216 GYK131216:GYP131216 HIG131216:HIL131216 HSC131216:HSH131216 IBY131216:ICD131216 ILU131216:ILZ131216 IVQ131216:IVV131216 JFM131216:JFR131216 JPI131216:JPN131216 JZE131216:JZJ131216 KJA131216:KJF131216 KSW131216:KTB131216 LCS131216:LCX131216 LMO131216:LMT131216 LWK131216:LWP131216 MGG131216:MGL131216 MQC131216:MQH131216 MZY131216:NAD131216 NJU131216:NJZ131216 NTQ131216:NTV131216 ODM131216:ODR131216 ONI131216:ONN131216 OXE131216:OXJ131216 PHA131216:PHF131216 PQW131216:PRB131216 QAS131216:QAX131216 QKO131216:QKT131216 QUK131216:QUP131216 REG131216:REL131216 ROC131216:ROH131216 RXY131216:RYD131216 SHU131216:SHZ131216 SRQ131216:SRV131216 TBM131216:TBR131216 TLI131216:TLN131216 TVE131216:TVJ131216 UFA131216:UFF131216 UOW131216:UPB131216 UYS131216:UYX131216 VIO131216:VIT131216 VSK131216:VSP131216 WCG131216:WCL131216 WMC131216:WMH131216 WVY131216:WWD131216 Q196752:V196752 JM196752:JR196752 TI196752:TN196752 ADE196752:ADJ196752 ANA196752:ANF196752 AWW196752:AXB196752 BGS196752:BGX196752 BQO196752:BQT196752 CAK196752:CAP196752 CKG196752:CKL196752 CUC196752:CUH196752 DDY196752:DED196752 DNU196752:DNZ196752 DXQ196752:DXV196752 EHM196752:EHR196752 ERI196752:ERN196752 FBE196752:FBJ196752 FLA196752:FLF196752 FUW196752:FVB196752 GES196752:GEX196752 GOO196752:GOT196752 GYK196752:GYP196752 HIG196752:HIL196752 HSC196752:HSH196752 IBY196752:ICD196752 ILU196752:ILZ196752 IVQ196752:IVV196752 JFM196752:JFR196752 JPI196752:JPN196752 JZE196752:JZJ196752 KJA196752:KJF196752 KSW196752:KTB196752 LCS196752:LCX196752 LMO196752:LMT196752 LWK196752:LWP196752 MGG196752:MGL196752 MQC196752:MQH196752 MZY196752:NAD196752 NJU196752:NJZ196752 NTQ196752:NTV196752 ODM196752:ODR196752 ONI196752:ONN196752 OXE196752:OXJ196752 PHA196752:PHF196752 PQW196752:PRB196752 QAS196752:QAX196752 QKO196752:QKT196752 QUK196752:QUP196752 REG196752:REL196752 ROC196752:ROH196752 RXY196752:RYD196752 SHU196752:SHZ196752 SRQ196752:SRV196752 TBM196752:TBR196752 TLI196752:TLN196752 TVE196752:TVJ196752 UFA196752:UFF196752 UOW196752:UPB196752 UYS196752:UYX196752 VIO196752:VIT196752 VSK196752:VSP196752 WCG196752:WCL196752 WMC196752:WMH196752 WVY196752:WWD196752 Q262288:V262288 JM262288:JR262288 TI262288:TN262288 ADE262288:ADJ262288 ANA262288:ANF262288 AWW262288:AXB262288 BGS262288:BGX262288 BQO262288:BQT262288 CAK262288:CAP262288 CKG262288:CKL262288 CUC262288:CUH262288 DDY262288:DED262288 DNU262288:DNZ262288 DXQ262288:DXV262288 EHM262288:EHR262288 ERI262288:ERN262288 FBE262288:FBJ262288 FLA262288:FLF262288 FUW262288:FVB262288 GES262288:GEX262288 GOO262288:GOT262288 GYK262288:GYP262288 HIG262288:HIL262288 HSC262288:HSH262288 IBY262288:ICD262288 ILU262288:ILZ262288 IVQ262288:IVV262288 JFM262288:JFR262288 JPI262288:JPN262288 JZE262288:JZJ262288 KJA262288:KJF262288 KSW262288:KTB262288 LCS262288:LCX262288 LMO262288:LMT262288 LWK262288:LWP262288 MGG262288:MGL262288 MQC262288:MQH262288 MZY262288:NAD262288 NJU262288:NJZ262288 NTQ262288:NTV262288 ODM262288:ODR262288 ONI262288:ONN262288 OXE262288:OXJ262288 PHA262288:PHF262288 PQW262288:PRB262288 QAS262288:QAX262288 QKO262288:QKT262288 QUK262288:QUP262288 REG262288:REL262288 ROC262288:ROH262288 RXY262288:RYD262288 SHU262288:SHZ262288 SRQ262288:SRV262288 TBM262288:TBR262288 TLI262288:TLN262288 TVE262288:TVJ262288 UFA262288:UFF262288 UOW262288:UPB262288 UYS262288:UYX262288 VIO262288:VIT262288 VSK262288:VSP262288 WCG262288:WCL262288 WMC262288:WMH262288 WVY262288:WWD262288 Q327824:V327824 JM327824:JR327824 TI327824:TN327824 ADE327824:ADJ327824 ANA327824:ANF327824 AWW327824:AXB327824 BGS327824:BGX327824 BQO327824:BQT327824 CAK327824:CAP327824 CKG327824:CKL327824 CUC327824:CUH327824 DDY327824:DED327824 DNU327824:DNZ327824 DXQ327824:DXV327824 EHM327824:EHR327824 ERI327824:ERN327824 FBE327824:FBJ327824 FLA327824:FLF327824 FUW327824:FVB327824 GES327824:GEX327824 GOO327824:GOT327824 GYK327824:GYP327824 HIG327824:HIL327824 HSC327824:HSH327824 IBY327824:ICD327824 ILU327824:ILZ327824 IVQ327824:IVV327824 JFM327824:JFR327824 JPI327824:JPN327824 JZE327824:JZJ327824 KJA327824:KJF327824 KSW327824:KTB327824 LCS327824:LCX327824 LMO327824:LMT327824 LWK327824:LWP327824 MGG327824:MGL327824 MQC327824:MQH327824 MZY327824:NAD327824 NJU327824:NJZ327824 NTQ327824:NTV327824 ODM327824:ODR327824 ONI327824:ONN327824 OXE327824:OXJ327824 PHA327824:PHF327824 PQW327824:PRB327824 QAS327824:QAX327824 QKO327824:QKT327824 QUK327824:QUP327824 REG327824:REL327824 ROC327824:ROH327824 RXY327824:RYD327824 SHU327824:SHZ327824 SRQ327824:SRV327824 TBM327824:TBR327824 TLI327824:TLN327824 TVE327824:TVJ327824 UFA327824:UFF327824 UOW327824:UPB327824 UYS327824:UYX327824 VIO327824:VIT327824 VSK327824:VSP327824 WCG327824:WCL327824 WMC327824:WMH327824 WVY327824:WWD327824 Q393360:V393360 JM393360:JR393360 TI393360:TN393360 ADE393360:ADJ393360 ANA393360:ANF393360 AWW393360:AXB393360 BGS393360:BGX393360 BQO393360:BQT393360 CAK393360:CAP393360 CKG393360:CKL393360 CUC393360:CUH393360 DDY393360:DED393360 DNU393360:DNZ393360 DXQ393360:DXV393360 EHM393360:EHR393360 ERI393360:ERN393360 FBE393360:FBJ393360 FLA393360:FLF393360 FUW393360:FVB393360 GES393360:GEX393360 GOO393360:GOT393360 GYK393360:GYP393360 HIG393360:HIL393360 HSC393360:HSH393360 IBY393360:ICD393360 ILU393360:ILZ393360 IVQ393360:IVV393360 JFM393360:JFR393360 JPI393360:JPN393360 JZE393360:JZJ393360 KJA393360:KJF393360 KSW393360:KTB393360 LCS393360:LCX393360 LMO393360:LMT393360 LWK393360:LWP393360 MGG393360:MGL393360 MQC393360:MQH393360 MZY393360:NAD393360 NJU393360:NJZ393360 NTQ393360:NTV393360 ODM393360:ODR393360 ONI393360:ONN393360 OXE393360:OXJ393360 PHA393360:PHF393360 PQW393360:PRB393360 QAS393360:QAX393360 QKO393360:QKT393360 QUK393360:QUP393360 REG393360:REL393360 ROC393360:ROH393360 RXY393360:RYD393360 SHU393360:SHZ393360 SRQ393360:SRV393360 TBM393360:TBR393360 TLI393360:TLN393360 TVE393360:TVJ393360 UFA393360:UFF393360 UOW393360:UPB393360 UYS393360:UYX393360 VIO393360:VIT393360 VSK393360:VSP393360 WCG393360:WCL393360 WMC393360:WMH393360 WVY393360:WWD393360 Q458896:V458896 JM458896:JR458896 TI458896:TN458896 ADE458896:ADJ458896 ANA458896:ANF458896 AWW458896:AXB458896 BGS458896:BGX458896 BQO458896:BQT458896 CAK458896:CAP458896 CKG458896:CKL458896 CUC458896:CUH458896 DDY458896:DED458896 DNU458896:DNZ458896 DXQ458896:DXV458896 EHM458896:EHR458896 ERI458896:ERN458896 FBE458896:FBJ458896 FLA458896:FLF458896 FUW458896:FVB458896 GES458896:GEX458896 GOO458896:GOT458896 GYK458896:GYP458896 HIG458896:HIL458896 HSC458896:HSH458896 IBY458896:ICD458896 ILU458896:ILZ458896 IVQ458896:IVV458896 JFM458896:JFR458896 JPI458896:JPN458896 JZE458896:JZJ458896 KJA458896:KJF458896 KSW458896:KTB458896 LCS458896:LCX458896 LMO458896:LMT458896 LWK458896:LWP458896 MGG458896:MGL458896 MQC458896:MQH458896 MZY458896:NAD458896 NJU458896:NJZ458896 NTQ458896:NTV458896 ODM458896:ODR458896 ONI458896:ONN458896 OXE458896:OXJ458896 PHA458896:PHF458896 PQW458896:PRB458896 QAS458896:QAX458896 QKO458896:QKT458896 QUK458896:QUP458896 REG458896:REL458896 ROC458896:ROH458896 RXY458896:RYD458896 SHU458896:SHZ458896 SRQ458896:SRV458896 TBM458896:TBR458896 TLI458896:TLN458896 TVE458896:TVJ458896 UFA458896:UFF458896 UOW458896:UPB458896 UYS458896:UYX458896 VIO458896:VIT458896 VSK458896:VSP458896 WCG458896:WCL458896 WMC458896:WMH458896 WVY458896:WWD458896 Q524432:V524432 JM524432:JR524432 TI524432:TN524432 ADE524432:ADJ524432 ANA524432:ANF524432 AWW524432:AXB524432 BGS524432:BGX524432 BQO524432:BQT524432 CAK524432:CAP524432 CKG524432:CKL524432 CUC524432:CUH524432 DDY524432:DED524432 DNU524432:DNZ524432 DXQ524432:DXV524432 EHM524432:EHR524432 ERI524432:ERN524432 FBE524432:FBJ524432 FLA524432:FLF524432 FUW524432:FVB524432 GES524432:GEX524432 GOO524432:GOT524432 GYK524432:GYP524432 HIG524432:HIL524432 HSC524432:HSH524432 IBY524432:ICD524432 ILU524432:ILZ524432 IVQ524432:IVV524432 JFM524432:JFR524432 JPI524432:JPN524432 JZE524432:JZJ524432 KJA524432:KJF524432 KSW524432:KTB524432 LCS524432:LCX524432 LMO524432:LMT524432 LWK524432:LWP524432 MGG524432:MGL524432 MQC524432:MQH524432 MZY524432:NAD524432 NJU524432:NJZ524432 NTQ524432:NTV524432 ODM524432:ODR524432 ONI524432:ONN524432 OXE524432:OXJ524432 PHA524432:PHF524432 PQW524432:PRB524432 QAS524432:QAX524432 QKO524432:QKT524432 QUK524432:QUP524432 REG524432:REL524432 ROC524432:ROH524432 RXY524432:RYD524432 SHU524432:SHZ524432 SRQ524432:SRV524432 TBM524432:TBR524432 TLI524432:TLN524432 TVE524432:TVJ524432 UFA524432:UFF524432 UOW524432:UPB524432 UYS524432:UYX524432 VIO524432:VIT524432 VSK524432:VSP524432 WCG524432:WCL524432 WMC524432:WMH524432 WVY524432:WWD524432 Q589968:V589968 JM589968:JR589968 TI589968:TN589968 ADE589968:ADJ589968 ANA589968:ANF589968 AWW589968:AXB589968 BGS589968:BGX589968 BQO589968:BQT589968 CAK589968:CAP589968 CKG589968:CKL589968 CUC589968:CUH589968 DDY589968:DED589968 DNU589968:DNZ589968 DXQ589968:DXV589968 EHM589968:EHR589968 ERI589968:ERN589968 FBE589968:FBJ589968 FLA589968:FLF589968 FUW589968:FVB589968 GES589968:GEX589968 GOO589968:GOT589968 GYK589968:GYP589968 HIG589968:HIL589968 HSC589968:HSH589968 IBY589968:ICD589968 ILU589968:ILZ589968 IVQ589968:IVV589968 JFM589968:JFR589968 JPI589968:JPN589968 JZE589968:JZJ589968 KJA589968:KJF589968 KSW589968:KTB589968 LCS589968:LCX589968 LMO589968:LMT589968 LWK589968:LWP589968 MGG589968:MGL589968 MQC589968:MQH589968 MZY589968:NAD589968 NJU589968:NJZ589968 NTQ589968:NTV589968 ODM589968:ODR589968 ONI589968:ONN589968 OXE589968:OXJ589968 PHA589968:PHF589968 PQW589968:PRB589968 QAS589968:QAX589968 QKO589968:QKT589968 QUK589968:QUP589968 REG589968:REL589968 ROC589968:ROH589968 RXY589968:RYD589968 SHU589968:SHZ589968 SRQ589968:SRV589968 TBM589968:TBR589968 TLI589968:TLN589968 TVE589968:TVJ589968 UFA589968:UFF589968 UOW589968:UPB589968 UYS589968:UYX589968 VIO589968:VIT589968 VSK589968:VSP589968 WCG589968:WCL589968 WMC589968:WMH589968 WVY589968:WWD589968 Q655504:V655504 JM655504:JR655504 TI655504:TN655504 ADE655504:ADJ655504 ANA655504:ANF655504 AWW655504:AXB655504 BGS655504:BGX655504 BQO655504:BQT655504 CAK655504:CAP655504 CKG655504:CKL655504 CUC655504:CUH655504 DDY655504:DED655504 DNU655504:DNZ655504 DXQ655504:DXV655504 EHM655504:EHR655504 ERI655504:ERN655504 FBE655504:FBJ655504 FLA655504:FLF655504 FUW655504:FVB655504 GES655504:GEX655504 GOO655504:GOT655504 GYK655504:GYP655504 HIG655504:HIL655504 HSC655504:HSH655504 IBY655504:ICD655504 ILU655504:ILZ655504 IVQ655504:IVV655504 JFM655504:JFR655504 JPI655504:JPN655504 JZE655504:JZJ655504 KJA655504:KJF655504 KSW655504:KTB655504 LCS655504:LCX655504 LMO655504:LMT655504 LWK655504:LWP655504 MGG655504:MGL655504 MQC655504:MQH655504 MZY655504:NAD655504 NJU655504:NJZ655504 NTQ655504:NTV655504 ODM655504:ODR655504 ONI655504:ONN655504 OXE655504:OXJ655504 PHA655504:PHF655504 PQW655504:PRB655504 QAS655504:QAX655504 QKO655504:QKT655504 QUK655504:QUP655504 REG655504:REL655504 ROC655504:ROH655504 RXY655504:RYD655504 SHU655504:SHZ655504 SRQ655504:SRV655504 TBM655504:TBR655504 TLI655504:TLN655504 TVE655504:TVJ655504 UFA655504:UFF655504 UOW655504:UPB655504 UYS655504:UYX655504 VIO655504:VIT655504 VSK655504:VSP655504 WCG655504:WCL655504 WMC655504:WMH655504 WVY655504:WWD655504 Q721040:V721040 JM721040:JR721040 TI721040:TN721040 ADE721040:ADJ721040 ANA721040:ANF721040 AWW721040:AXB721040 BGS721040:BGX721040 BQO721040:BQT721040 CAK721040:CAP721040 CKG721040:CKL721040 CUC721040:CUH721040 DDY721040:DED721040 DNU721040:DNZ721040 DXQ721040:DXV721040 EHM721040:EHR721040 ERI721040:ERN721040 FBE721040:FBJ721040 FLA721040:FLF721040 FUW721040:FVB721040 GES721040:GEX721040 GOO721040:GOT721040 GYK721040:GYP721040 HIG721040:HIL721040 HSC721040:HSH721040 IBY721040:ICD721040 ILU721040:ILZ721040 IVQ721040:IVV721040 JFM721040:JFR721040 JPI721040:JPN721040 JZE721040:JZJ721040 KJA721040:KJF721040 KSW721040:KTB721040 LCS721040:LCX721040 LMO721040:LMT721040 LWK721040:LWP721040 MGG721040:MGL721040 MQC721040:MQH721040 MZY721040:NAD721040 NJU721040:NJZ721040 NTQ721040:NTV721040 ODM721040:ODR721040 ONI721040:ONN721040 OXE721040:OXJ721040 PHA721040:PHF721040 PQW721040:PRB721040 QAS721040:QAX721040 QKO721040:QKT721040 QUK721040:QUP721040 REG721040:REL721040 ROC721040:ROH721040 RXY721040:RYD721040 SHU721040:SHZ721040 SRQ721040:SRV721040 TBM721040:TBR721040 TLI721040:TLN721040 TVE721040:TVJ721040 UFA721040:UFF721040 UOW721040:UPB721040 UYS721040:UYX721040 VIO721040:VIT721040 VSK721040:VSP721040 WCG721040:WCL721040 WMC721040:WMH721040 WVY721040:WWD721040 Q786576:V786576 JM786576:JR786576 TI786576:TN786576 ADE786576:ADJ786576 ANA786576:ANF786576 AWW786576:AXB786576 BGS786576:BGX786576 BQO786576:BQT786576 CAK786576:CAP786576 CKG786576:CKL786576 CUC786576:CUH786576 DDY786576:DED786576 DNU786576:DNZ786576 DXQ786576:DXV786576 EHM786576:EHR786576 ERI786576:ERN786576 FBE786576:FBJ786576 FLA786576:FLF786576 FUW786576:FVB786576 GES786576:GEX786576 GOO786576:GOT786576 GYK786576:GYP786576 HIG786576:HIL786576 HSC786576:HSH786576 IBY786576:ICD786576 ILU786576:ILZ786576 IVQ786576:IVV786576 JFM786576:JFR786576 JPI786576:JPN786576 JZE786576:JZJ786576 KJA786576:KJF786576 KSW786576:KTB786576 LCS786576:LCX786576 LMO786576:LMT786576 LWK786576:LWP786576 MGG786576:MGL786576 MQC786576:MQH786576 MZY786576:NAD786576 NJU786576:NJZ786576 NTQ786576:NTV786576 ODM786576:ODR786576 ONI786576:ONN786576 OXE786576:OXJ786576 PHA786576:PHF786576 PQW786576:PRB786576 QAS786576:QAX786576 QKO786576:QKT786576 QUK786576:QUP786576 REG786576:REL786576 ROC786576:ROH786576 RXY786576:RYD786576 SHU786576:SHZ786576 SRQ786576:SRV786576 TBM786576:TBR786576 TLI786576:TLN786576 TVE786576:TVJ786576 UFA786576:UFF786576 UOW786576:UPB786576 UYS786576:UYX786576 VIO786576:VIT786576 VSK786576:VSP786576 WCG786576:WCL786576 WMC786576:WMH786576 WVY786576:WWD786576 Q852112:V852112 JM852112:JR852112 TI852112:TN852112 ADE852112:ADJ852112 ANA852112:ANF852112 AWW852112:AXB852112 BGS852112:BGX852112 BQO852112:BQT852112 CAK852112:CAP852112 CKG852112:CKL852112 CUC852112:CUH852112 DDY852112:DED852112 DNU852112:DNZ852112 DXQ852112:DXV852112 EHM852112:EHR852112 ERI852112:ERN852112 FBE852112:FBJ852112 FLA852112:FLF852112 FUW852112:FVB852112 GES852112:GEX852112 GOO852112:GOT852112 GYK852112:GYP852112 HIG852112:HIL852112 HSC852112:HSH852112 IBY852112:ICD852112 ILU852112:ILZ852112 IVQ852112:IVV852112 JFM852112:JFR852112 JPI852112:JPN852112 JZE852112:JZJ852112 KJA852112:KJF852112 KSW852112:KTB852112 LCS852112:LCX852112 LMO852112:LMT852112 LWK852112:LWP852112 MGG852112:MGL852112 MQC852112:MQH852112 MZY852112:NAD852112 NJU852112:NJZ852112 NTQ852112:NTV852112 ODM852112:ODR852112 ONI852112:ONN852112 OXE852112:OXJ852112 PHA852112:PHF852112 PQW852112:PRB852112 QAS852112:QAX852112 QKO852112:QKT852112 QUK852112:QUP852112 REG852112:REL852112 ROC852112:ROH852112 RXY852112:RYD852112 SHU852112:SHZ852112 SRQ852112:SRV852112 TBM852112:TBR852112 TLI852112:TLN852112 TVE852112:TVJ852112 UFA852112:UFF852112 UOW852112:UPB852112 UYS852112:UYX852112 VIO852112:VIT852112 VSK852112:VSP852112 WCG852112:WCL852112 WMC852112:WMH852112 WVY852112:WWD852112 Q917648:V917648 JM917648:JR917648 TI917648:TN917648 ADE917648:ADJ917648 ANA917648:ANF917648 AWW917648:AXB917648 BGS917648:BGX917648 BQO917648:BQT917648 CAK917648:CAP917648 CKG917648:CKL917648 CUC917648:CUH917648 DDY917648:DED917648 DNU917648:DNZ917648 DXQ917648:DXV917648 EHM917648:EHR917648 ERI917648:ERN917648 FBE917648:FBJ917648 FLA917648:FLF917648 FUW917648:FVB917648 GES917648:GEX917648 GOO917648:GOT917648 GYK917648:GYP917648 HIG917648:HIL917648 HSC917648:HSH917648 IBY917648:ICD917648 ILU917648:ILZ917648 IVQ917648:IVV917648 JFM917648:JFR917648 JPI917648:JPN917648 JZE917648:JZJ917648 KJA917648:KJF917648 KSW917648:KTB917648 LCS917648:LCX917648 LMO917648:LMT917648 LWK917648:LWP917648 MGG917648:MGL917648 MQC917648:MQH917648 MZY917648:NAD917648 NJU917648:NJZ917648 NTQ917648:NTV917648 ODM917648:ODR917648 ONI917648:ONN917648 OXE917648:OXJ917648 PHA917648:PHF917648 PQW917648:PRB917648 QAS917648:QAX917648 QKO917648:QKT917648 QUK917648:QUP917648 REG917648:REL917648 ROC917648:ROH917648 RXY917648:RYD917648 SHU917648:SHZ917648 SRQ917648:SRV917648 TBM917648:TBR917648 TLI917648:TLN917648 TVE917648:TVJ917648 UFA917648:UFF917648 UOW917648:UPB917648 UYS917648:UYX917648 VIO917648:VIT917648 VSK917648:VSP917648 WCG917648:WCL917648 WMC917648:WMH917648 WVY917648:WWD917648 Q983184:V983184 JM983184:JR983184 TI983184:TN983184 ADE983184:ADJ983184 ANA983184:ANF983184 AWW983184:AXB983184 BGS983184:BGX983184 BQO983184:BQT983184 CAK983184:CAP983184 CKG983184:CKL983184 CUC983184:CUH983184 DDY983184:DED983184 DNU983184:DNZ983184 DXQ983184:DXV983184 EHM983184:EHR983184 ERI983184:ERN983184 FBE983184:FBJ983184 FLA983184:FLF983184 FUW983184:FVB983184 GES983184:GEX983184 GOO983184:GOT983184 GYK983184:GYP983184 HIG983184:HIL983184 HSC983184:HSH983184 IBY983184:ICD983184 ILU983184:ILZ983184 IVQ983184:IVV983184 JFM983184:JFR983184 JPI983184:JPN983184 JZE983184:JZJ983184 KJA983184:KJF983184 KSW983184:KTB983184 LCS983184:LCX983184 LMO983184:LMT983184 LWK983184:LWP983184 MGG983184:MGL983184 MQC983184:MQH983184 MZY983184:NAD983184 NJU983184:NJZ983184 NTQ983184:NTV983184 ODM983184:ODR983184 ONI983184:ONN983184 OXE983184:OXJ983184 PHA983184:PHF983184 PQW983184:PRB983184 QAS983184:QAX983184 QKO983184:QKT983184 QUK983184:QUP983184 REG983184:REL983184 ROC983184:ROH983184 RXY983184:RYD983184 SHU983184:SHZ983184 SRQ983184:SRV983184 TBM983184:TBR983184 TLI983184:TLN983184 TVE983184:TVJ983184 UFA983184:UFF983184 UOW983184:UPB983184 UYS983184:UYX983184 VIO983184:VIT983184 VSK983184:VSP983184 WCG983184:WCL983184 WMC983184:WMH983184 WVY983184:WWD983184 J163 JF163 TB163 ACX163 AMT163 AWP163 BGL163 BQH163 CAD163 CJZ163 CTV163 DDR163 DNN163 DXJ163 EHF163 ERB163 FAX163 FKT163 FUP163 GEL163 GOH163 GYD163 HHZ163 HRV163 IBR163 ILN163 IVJ163 JFF163 JPB163 JYX163 KIT163 KSP163 LCL163 LMH163 LWD163 MFZ163 MPV163 MZR163 NJN163 NTJ163 ODF163 ONB163 OWX163 PGT163 PQP163 QAL163 QKH163 QUD163 RDZ163 RNV163 RXR163 SHN163 SRJ163 TBF163 TLB163 TUX163 UET163 UOP163 UYL163 VIH163 VSD163 WBZ163 WLV163 WVR163 J65699 JF65699 TB65699 ACX65699 AMT65699 AWP65699 BGL65699 BQH65699 CAD65699 CJZ65699 CTV65699 DDR65699 DNN65699 DXJ65699 EHF65699 ERB65699 FAX65699 FKT65699 FUP65699 GEL65699 GOH65699 GYD65699 HHZ65699 HRV65699 IBR65699 ILN65699 IVJ65699 JFF65699 JPB65699 JYX65699 KIT65699 KSP65699 LCL65699 LMH65699 LWD65699 MFZ65699 MPV65699 MZR65699 NJN65699 NTJ65699 ODF65699 ONB65699 OWX65699 PGT65699 PQP65699 QAL65699 QKH65699 QUD65699 RDZ65699 RNV65699 RXR65699 SHN65699 SRJ65699 TBF65699 TLB65699 TUX65699 UET65699 UOP65699 UYL65699 VIH65699 VSD65699 WBZ65699 WLV65699 WVR65699 J131235 JF131235 TB131235 ACX131235 AMT131235 AWP131235 BGL131235 BQH131235 CAD131235 CJZ131235 CTV131235 DDR131235 DNN131235 DXJ131235 EHF131235 ERB131235 FAX131235 FKT131235 FUP131235 GEL131235 GOH131235 GYD131235 HHZ131235 HRV131235 IBR131235 ILN131235 IVJ131235 JFF131235 JPB131235 JYX131235 KIT131235 KSP131235 LCL131235 LMH131235 LWD131235 MFZ131235 MPV131235 MZR131235 NJN131235 NTJ131235 ODF131235 ONB131235 OWX131235 PGT131235 PQP131235 QAL131235 QKH131235 QUD131235 RDZ131235 RNV131235 RXR131235 SHN131235 SRJ131235 TBF131235 TLB131235 TUX131235 UET131235 UOP131235 UYL131235 VIH131235 VSD131235 WBZ131235 WLV131235 WVR131235 J196771 JF196771 TB196771 ACX196771 AMT196771 AWP196771 BGL196771 BQH196771 CAD196771 CJZ196771 CTV196771 DDR196771 DNN196771 DXJ196771 EHF196771 ERB196771 FAX196771 FKT196771 FUP196771 GEL196771 GOH196771 GYD196771 HHZ196771 HRV196771 IBR196771 ILN196771 IVJ196771 JFF196771 JPB196771 JYX196771 KIT196771 KSP196771 LCL196771 LMH196771 LWD196771 MFZ196771 MPV196771 MZR196771 NJN196771 NTJ196771 ODF196771 ONB196771 OWX196771 PGT196771 PQP196771 QAL196771 QKH196771 QUD196771 RDZ196771 RNV196771 RXR196771 SHN196771 SRJ196771 TBF196771 TLB196771 TUX196771 UET196771 UOP196771 UYL196771 VIH196771 VSD196771 WBZ196771 WLV196771 WVR196771 J262307 JF262307 TB262307 ACX262307 AMT262307 AWP262307 BGL262307 BQH262307 CAD262307 CJZ262307 CTV262307 DDR262307 DNN262307 DXJ262307 EHF262307 ERB262307 FAX262307 FKT262307 FUP262307 GEL262307 GOH262307 GYD262307 HHZ262307 HRV262307 IBR262307 ILN262307 IVJ262307 JFF262307 JPB262307 JYX262307 KIT262307 KSP262307 LCL262307 LMH262307 LWD262307 MFZ262307 MPV262307 MZR262307 NJN262307 NTJ262307 ODF262307 ONB262307 OWX262307 PGT262307 PQP262307 QAL262307 QKH262307 QUD262307 RDZ262307 RNV262307 RXR262307 SHN262307 SRJ262307 TBF262307 TLB262307 TUX262307 UET262307 UOP262307 UYL262307 VIH262307 VSD262307 WBZ262307 WLV262307 WVR262307 J327843 JF327843 TB327843 ACX327843 AMT327843 AWP327843 BGL327843 BQH327843 CAD327843 CJZ327843 CTV327843 DDR327843 DNN327843 DXJ327843 EHF327843 ERB327843 FAX327843 FKT327843 FUP327843 GEL327843 GOH327843 GYD327843 HHZ327843 HRV327843 IBR327843 ILN327843 IVJ327843 JFF327843 JPB327843 JYX327843 KIT327843 KSP327843 LCL327843 LMH327843 LWD327843 MFZ327843 MPV327843 MZR327843 NJN327843 NTJ327843 ODF327843 ONB327843 OWX327843 PGT327843 PQP327843 QAL327843 QKH327843 QUD327843 RDZ327843 RNV327843 RXR327843 SHN327843 SRJ327843 TBF327843 TLB327843 TUX327843 UET327843 UOP327843 UYL327843 VIH327843 VSD327843 WBZ327843 WLV327843 WVR327843 J393379 JF393379 TB393379 ACX393379 AMT393379 AWP393379 BGL393379 BQH393379 CAD393379 CJZ393379 CTV393379 DDR393379 DNN393379 DXJ393379 EHF393379 ERB393379 FAX393379 FKT393379 FUP393379 GEL393379 GOH393379 GYD393379 HHZ393379 HRV393379 IBR393379 ILN393379 IVJ393379 JFF393379 JPB393379 JYX393379 KIT393379 KSP393379 LCL393379 LMH393379 LWD393379 MFZ393379 MPV393379 MZR393379 NJN393379 NTJ393379 ODF393379 ONB393379 OWX393379 PGT393379 PQP393379 QAL393379 QKH393379 QUD393379 RDZ393379 RNV393379 RXR393379 SHN393379 SRJ393379 TBF393379 TLB393379 TUX393379 UET393379 UOP393379 UYL393379 VIH393379 VSD393379 WBZ393379 WLV393379 WVR393379 J458915 JF458915 TB458915 ACX458915 AMT458915 AWP458915 BGL458915 BQH458915 CAD458915 CJZ458915 CTV458915 DDR458915 DNN458915 DXJ458915 EHF458915 ERB458915 FAX458915 FKT458915 FUP458915 GEL458915 GOH458915 GYD458915 HHZ458915 HRV458915 IBR458915 ILN458915 IVJ458915 JFF458915 JPB458915 JYX458915 KIT458915 KSP458915 LCL458915 LMH458915 LWD458915 MFZ458915 MPV458915 MZR458915 NJN458915 NTJ458915 ODF458915 ONB458915 OWX458915 PGT458915 PQP458915 QAL458915 QKH458915 QUD458915 RDZ458915 RNV458915 RXR458915 SHN458915 SRJ458915 TBF458915 TLB458915 TUX458915 UET458915 UOP458915 UYL458915 VIH458915 VSD458915 WBZ458915 WLV458915 WVR458915 J524451 JF524451 TB524451 ACX524451 AMT524451 AWP524451 BGL524451 BQH524451 CAD524451 CJZ524451 CTV524451 DDR524451 DNN524451 DXJ524451 EHF524451 ERB524451 FAX524451 FKT524451 FUP524451 GEL524451 GOH524451 GYD524451 HHZ524451 HRV524451 IBR524451 ILN524451 IVJ524451 JFF524451 JPB524451 JYX524451 KIT524451 KSP524451 LCL524451 LMH524451 LWD524451 MFZ524451 MPV524451 MZR524451 NJN524451 NTJ524451 ODF524451 ONB524451 OWX524451 PGT524451 PQP524451 QAL524451 QKH524451 QUD524451 RDZ524451 RNV524451 RXR524451 SHN524451 SRJ524451 TBF524451 TLB524451 TUX524451 UET524451 UOP524451 UYL524451 VIH524451 VSD524451 WBZ524451 WLV524451 WVR524451 J589987 JF589987 TB589987 ACX589987 AMT589987 AWP589987 BGL589987 BQH589987 CAD589987 CJZ589987 CTV589987 DDR589987 DNN589987 DXJ589987 EHF589987 ERB589987 FAX589987 FKT589987 FUP589987 GEL589987 GOH589987 GYD589987 HHZ589987 HRV589987 IBR589987 ILN589987 IVJ589987 JFF589987 JPB589987 JYX589987 KIT589987 KSP589987 LCL589987 LMH589987 LWD589987 MFZ589987 MPV589987 MZR589987 NJN589987 NTJ589987 ODF589987 ONB589987 OWX589987 PGT589987 PQP589987 QAL589987 QKH589987 QUD589987 RDZ589987 RNV589987 RXR589987 SHN589987 SRJ589987 TBF589987 TLB589987 TUX589987 UET589987 UOP589987 UYL589987 VIH589987 VSD589987 WBZ589987 WLV589987 WVR589987 J655523 JF655523 TB655523 ACX655523 AMT655523 AWP655523 BGL655523 BQH655523 CAD655523 CJZ655523 CTV655523 DDR655523 DNN655523 DXJ655523 EHF655523 ERB655523 FAX655523 FKT655523 FUP655523 GEL655523 GOH655523 GYD655523 HHZ655523 HRV655523 IBR655523 ILN655523 IVJ655523 JFF655523 JPB655523 JYX655523 KIT655523 KSP655523 LCL655523 LMH655523 LWD655523 MFZ655523 MPV655523 MZR655523 NJN655523 NTJ655523 ODF655523 ONB655523 OWX655523 PGT655523 PQP655523 QAL655523 QKH655523 QUD655523 RDZ655523 RNV655523 RXR655523 SHN655523 SRJ655523 TBF655523 TLB655523 TUX655523 UET655523 UOP655523 UYL655523 VIH655523 VSD655523 WBZ655523 WLV655523 WVR655523 J721059 JF721059 TB721059 ACX721059 AMT721059 AWP721059 BGL721059 BQH721059 CAD721059 CJZ721059 CTV721059 DDR721059 DNN721059 DXJ721059 EHF721059 ERB721059 FAX721059 FKT721059 FUP721059 GEL721059 GOH721059 GYD721059 HHZ721059 HRV721059 IBR721059 ILN721059 IVJ721059 JFF721059 JPB721059 JYX721059 KIT721059 KSP721059 LCL721059 LMH721059 LWD721059 MFZ721059 MPV721059 MZR721059 NJN721059 NTJ721059 ODF721059 ONB721059 OWX721059 PGT721059 PQP721059 QAL721059 QKH721059 QUD721059 RDZ721059 RNV721059 RXR721059 SHN721059 SRJ721059 TBF721059 TLB721059 TUX721059 UET721059 UOP721059 UYL721059 VIH721059 VSD721059 WBZ721059 WLV721059 WVR721059 J786595 JF786595 TB786595 ACX786595 AMT786595 AWP786595 BGL786595 BQH786595 CAD786595 CJZ786595 CTV786595 DDR786595 DNN786595 DXJ786595 EHF786595 ERB786595 FAX786595 FKT786595 FUP786595 GEL786595 GOH786595 GYD786595 HHZ786595 HRV786595 IBR786595 ILN786595 IVJ786595 JFF786595 JPB786595 JYX786595 KIT786595 KSP786595 LCL786595 LMH786595 LWD786595 MFZ786595 MPV786595 MZR786595 NJN786595 NTJ786595 ODF786595 ONB786595 OWX786595 PGT786595 PQP786595 QAL786595 QKH786595 QUD786595 RDZ786595 RNV786595 RXR786595 SHN786595 SRJ786595 TBF786595 TLB786595 TUX786595 UET786595 UOP786595 UYL786595 VIH786595 VSD786595 WBZ786595 WLV786595 WVR786595 J852131 JF852131 TB852131 ACX852131 AMT852131 AWP852131 BGL852131 BQH852131 CAD852131 CJZ852131 CTV852131 DDR852131 DNN852131 DXJ852131 EHF852131 ERB852131 FAX852131 FKT852131 FUP852131 GEL852131 GOH852131 GYD852131 HHZ852131 HRV852131 IBR852131 ILN852131 IVJ852131 JFF852131 JPB852131 JYX852131 KIT852131 KSP852131 LCL852131 LMH852131 LWD852131 MFZ852131 MPV852131 MZR852131 NJN852131 NTJ852131 ODF852131 ONB852131 OWX852131 PGT852131 PQP852131 QAL852131 QKH852131 QUD852131 RDZ852131 RNV852131 RXR852131 SHN852131 SRJ852131 TBF852131 TLB852131 TUX852131 UET852131 UOP852131 UYL852131 VIH852131 VSD852131 WBZ852131 WLV852131 WVR852131 J917667 JF917667 TB917667 ACX917667 AMT917667 AWP917667 BGL917667 BQH917667 CAD917667 CJZ917667 CTV917667 DDR917667 DNN917667 DXJ917667 EHF917667 ERB917667 FAX917667 FKT917667 FUP917667 GEL917667 GOH917667 GYD917667 HHZ917667 HRV917667 IBR917667 ILN917667 IVJ917667 JFF917667 JPB917667 JYX917667 KIT917667 KSP917667 LCL917667 LMH917667 LWD917667 MFZ917667 MPV917667 MZR917667 NJN917667 NTJ917667 ODF917667 ONB917667 OWX917667 PGT917667 PQP917667 QAL917667 QKH917667 QUD917667 RDZ917667 RNV917667 RXR917667 SHN917667 SRJ917667 TBF917667 TLB917667 TUX917667 UET917667 UOP917667 UYL917667 VIH917667 VSD917667 WBZ917667 WLV917667 WVR917667 J983203 JF983203 TB983203 ACX983203 AMT983203 AWP983203 BGL983203 BQH983203 CAD983203 CJZ983203 CTV983203 DDR983203 DNN983203 DXJ983203 EHF983203 ERB983203 FAX983203 FKT983203 FUP983203 GEL983203 GOH983203 GYD983203 HHZ983203 HRV983203 IBR983203 ILN983203 IVJ983203 JFF983203 JPB983203 JYX983203 KIT983203 KSP983203 LCL983203 LMH983203 LWD983203 MFZ983203 MPV983203 MZR983203 NJN983203 NTJ983203 ODF983203 ONB983203 OWX983203 PGT983203 PQP983203 QAL983203 QKH983203 QUD983203 RDZ983203 RNV983203 RXR983203 SHN983203 SRJ983203 TBF983203 TLB983203 TUX983203 UET983203 UOP983203 UYL983203 VIH983203 VSD983203 WBZ983203 WLV983203 WVR983203 J152 JF152 TB152 ACX152 AMT152 AWP152 BGL152 BQH152 CAD152 CJZ152 CTV152 DDR152 DNN152 DXJ152 EHF152 ERB152 FAX152 FKT152 FUP152 GEL152 GOH152 GYD152 HHZ152 HRV152 IBR152 ILN152 IVJ152 JFF152 JPB152 JYX152 KIT152 KSP152 LCL152 LMH152 LWD152 MFZ152 MPV152 MZR152 NJN152 NTJ152 ODF152 ONB152 OWX152 PGT152 PQP152 QAL152 QKH152 QUD152 RDZ152 RNV152 RXR152 SHN152 SRJ152 TBF152 TLB152 TUX152 UET152 UOP152 UYL152 VIH152 VSD152 WBZ152 WLV152 WVR152 J65688 JF65688 TB65688 ACX65688 AMT65688 AWP65688 BGL65688 BQH65688 CAD65688 CJZ65688 CTV65688 DDR65688 DNN65688 DXJ65688 EHF65688 ERB65688 FAX65688 FKT65688 FUP65688 GEL65688 GOH65688 GYD65688 HHZ65688 HRV65688 IBR65688 ILN65688 IVJ65688 JFF65688 JPB65688 JYX65688 KIT65688 KSP65688 LCL65688 LMH65688 LWD65688 MFZ65688 MPV65688 MZR65688 NJN65688 NTJ65688 ODF65688 ONB65688 OWX65688 PGT65688 PQP65688 QAL65688 QKH65688 QUD65688 RDZ65688 RNV65688 RXR65688 SHN65688 SRJ65688 TBF65688 TLB65688 TUX65688 UET65688 UOP65688 UYL65688 VIH65688 VSD65688 WBZ65688 WLV65688 WVR65688 J131224 JF131224 TB131224 ACX131224 AMT131224 AWP131224 BGL131224 BQH131224 CAD131224 CJZ131224 CTV131224 DDR131224 DNN131224 DXJ131224 EHF131224 ERB131224 FAX131224 FKT131224 FUP131224 GEL131224 GOH131224 GYD131224 HHZ131224 HRV131224 IBR131224 ILN131224 IVJ131224 JFF131224 JPB131224 JYX131224 KIT131224 KSP131224 LCL131224 LMH131224 LWD131224 MFZ131224 MPV131224 MZR131224 NJN131224 NTJ131224 ODF131224 ONB131224 OWX131224 PGT131224 PQP131224 QAL131224 QKH131224 QUD131224 RDZ131224 RNV131224 RXR131224 SHN131224 SRJ131224 TBF131224 TLB131224 TUX131224 UET131224 UOP131224 UYL131224 VIH131224 VSD131224 WBZ131224 WLV131224 WVR131224 J196760 JF196760 TB196760 ACX196760 AMT196760 AWP196760 BGL196760 BQH196760 CAD196760 CJZ196760 CTV196760 DDR196760 DNN196760 DXJ196760 EHF196760 ERB196760 FAX196760 FKT196760 FUP196760 GEL196760 GOH196760 GYD196760 HHZ196760 HRV196760 IBR196760 ILN196760 IVJ196760 JFF196760 JPB196760 JYX196760 KIT196760 KSP196760 LCL196760 LMH196760 LWD196760 MFZ196760 MPV196760 MZR196760 NJN196760 NTJ196760 ODF196760 ONB196760 OWX196760 PGT196760 PQP196760 QAL196760 QKH196760 QUD196760 RDZ196760 RNV196760 RXR196760 SHN196760 SRJ196760 TBF196760 TLB196760 TUX196760 UET196760 UOP196760 UYL196760 VIH196760 VSD196760 WBZ196760 WLV196760 WVR196760 J262296 JF262296 TB262296 ACX262296 AMT262296 AWP262296 BGL262296 BQH262296 CAD262296 CJZ262296 CTV262296 DDR262296 DNN262296 DXJ262296 EHF262296 ERB262296 FAX262296 FKT262296 FUP262296 GEL262296 GOH262296 GYD262296 HHZ262296 HRV262296 IBR262296 ILN262296 IVJ262296 JFF262296 JPB262296 JYX262296 KIT262296 KSP262296 LCL262296 LMH262296 LWD262296 MFZ262296 MPV262296 MZR262296 NJN262296 NTJ262296 ODF262296 ONB262296 OWX262296 PGT262296 PQP262296 QAL262296 QKH262296 QUD262296 RDZ262296 RNV262296 RXR262296 SHN262296 SRJ262296 TBF262296 TLB262296 TUX262296 UET262296 UOP262296 UYL262296 VIH262296 VSD262296 WBZ262296 WLV262296 WVR262296 J327832 JF327832 TB327832 ACX327832 AMT327832 AWP327832 BGL327832 BQH327832 CAD327832 CJZ327832 CTV327832 DDR327832 DNN327832 DXJ327832 EHF327832 ERB327832 FAX327832 FKT327832 FUP327832 GEL327832 GOH327832 GYD327832 HHZ327832 HRV327832 IBR327832 ILN327832 IVJ327832 JFF327832 JPB327832 JYX327832 KIT327832 KSP327832 LCL327832 LMH327832 LWD327832 MFZ327832 MPV327832 MZR327832 NJN327832 NTJ327832 ODF327832 ONB327832 OWX327832 PGT327832 PQP327832 QAL327832 QKH327832 QUD327832 RDZ327832 RNV327832 RXR327832 SHN327832 SRJ327832 TBF327832 TLB327832 TUX327832 UET327832 UOP327832 UYL327832 VIH327832 VSD327832 WBZ327832 WLV327832 WVR327832 J393368 JF393368 TB393368 ACX393368 AMT393368 AWP393368 BGL393368 BQH393368 CAD393368 CJZ393368 CTV393368 DDR393368 DNN393368 DXJ393368 EHF393368 ERB393368 FAX393368 FKT393368 FUP393368 GEL393368 GOH393368 GYD393368 HHZ393368 HRV393368 IBR393368 ILN393368 IVJ393368 JFF393368 JPB393368 JYX393368 KIT393368 KSP393368 LCL393368 LMH393368 LWD393368 MFZ393368 MPV393368 MZR393368 NJN393368 NTJ393368 ODF393368 ONB393368 OWX393368 PGT393368 PQP393368 QAL393368 QKH393368 QUD393368 RDZ393368 RNV393368 RXR393368 SHN393368 SRJ393368 TBF393368 TLB393368 TUX393368 UET393368 UOP393368 UYL393368 VIH393368 VSD393368 WBZ393368 WLV393368 WVR393368 J458904 JF458904 TB458904 ACX458904 AMT458904 AWP458904 BGL458904 BQH458904 CAD458904 CJZ458904 CTV458904 DDR458904 DNN458904 DXJ458904 EHF458904 ERB458904 FAX458904 FKT458904 FUP458904 GEL458904 GOH458904 GYD458904 HHZ458904 HRV458904 IBR458904 ILN458904 IVJ458904 JFF458904 JPB458904 JYX458904 KIT458904 KSP458904 LCL458904 LMH458904 LWD458904 MFZ458904 MPV458904 MZR458904 NJN458904 NTJ458904 ODF458904 ONB458904 OWX458904 PGT458904 PQP458904 QAL458904 QKH458904 QUD458904 RDZ458904 RNV458904 RXR458904 SHN458904 SRJ458904 TBF458904 TLB458904 TUX458904 UET458904 UOP458904 UYL458904 VIH458904 VSD458904 WBZ458904 WLV458904 WVR458904 J524440 JF524440 TB524440 ACX524440 AMT524440 AWP524440 BGL524440 BQH524440 CAD524440 CJZ524440 CTV524440 DDR524440 DNN524440 DXJ524440 EHF524440 ERB524440 FAX524440 FKT524440 FUP524440 GEL524440 GOH524440 GYD524440 HHZ524440 HRV524440 IBR524440 ILN524440 IVJ524440 JFF524440 JPB524440 JYX524440 KIT524440 KSP524440 LCL524440 LMH524440 LWD524440 MFZ524440 MPV524440 MZR524440 NJN524440 NTJ524440 ODF524440 ONB524440 OWX524440 PGT524440 PQP524440 QAL524440 QKH524440 QUD524440 RDZ524440 RNV524440 RXR524440 SHN524440 SRJ524440 TBF524440 TLB524440 TUX524440 UET524440 UOP524440 UYL524440 VIH524440 VSD524440 WBZ524440 WLV524440 WVR524440 J589976 JF589976 TB589976 ACX589976 AMT589976 AWP589976 BGL589976 BQH589976 CAD589976 CJZ589976 CTV589976 DDR589976 DNN589976 DXJ589976 EHF589976 ERB589976 FAX589976 FKT589976 FUP589976 GEL589976 GOH589976 GYD589976 HHZ589976 HRV589976 IBR589976 ILN589976 IVJ589976 JFF589976 JPB589976 JYX589976 KIT589976 KSP589976 LCL589976 LMH589976 LWD589976 MFZ589976 MPV589976 MZR589976 NJN589976 NTJ589976 ODF589976 ONB589976 OWX589976 PGT589976 PQP589976 QAL589976 QKH589976 QUD589976 RDZ589976 RNV589976 RXR589976 SHN589976 SRJ589976 TBF589976 TLB589976 TUX589976 UET589976 UOP589976 UYL589976 VIH589976 VSD589976 WBZ589976 WLV589976 WVR589976 J655512 JF655512 TB655512 ACX655512 AMT655512 AWP655512 BGL655512 BQH655512 CAD655512 CJZ655512 CTV655512 DDR655512 DNN655512 DXJ655512 EHF655512 ERB655512 FAX655512 FKT655512 FUP655512 GEL655512 GOH655512 GYD655512 HHZ655512 HRV655512 IBR655512 ILN655512 IVJ655512 JFF655512 JPB655512 JYX655512 KIT655512 KSP655512 LCL655512 LMH655512 LWD655512 MFZ655512 MPV655512 MZR655512 NJN655512 NTJ655512 ODF655512 ONB655512 OWX655512 PGT655512 PQP655512 QAL655512 QKH655512 QUD655512 RDZ655512 RNV655512 RXR655512 SHN655512 SRJ655512 TBF655512 TLB655512 TUX655512 UET655512 UOP655512 UYL655512 VIH655512 VSD655512 WBZ655512 WLV655512 WVR655512 J721048 JF721048 TB721048 ACX721048 AMT721048 AWP721048 BGL721048 BQH721048 CAD721048 CJZ721048 CTV721048 DDR721048 DNN721048 DXJ721048 EHF721048 ERB721048 FAX721048 FKT721048 FUP721048 GEL721048 GOH721048 GYD721048 HHZ721048 HRV721048 IBR721048 ILN721048 IVJ721048 JFF721048 JPB721048 JYX721048 KIT721048 KSP721048 LCL721048 LMH721048 LWD721048 MFZ721048 MPV721048 MZR721048 NJN721048 NTJ721048 ODF721048 ONB721048 OWX721048 PGT721048 PQP721048 QAL721048 QKH721048 QUD721048 RDZ721048 RNV721048 RXR721048 SHN721048 SRJ721048 TBF721048 TLB721048 TUX721048 UET721048 UOP721048 UYL721048 VIH721048 VSD721048 WBZ721048 WLV721048 WVR721048 J786584 JF786584 TB786584 ACX786584 AMT786584 AWP786584 BGL786584 BQH786584 CAD786584 CJZ786584 CTV786584 DDR786584 DNN786584 DXJ786584 EHF786584 ERB786584 FAX786584 FKT786584 FUP786584 GEL786584 GOH786584 GYD786584 HHZ786584 HRV786584 IBR786584 ILN786584 IVJ786584 JFF786584 JPB786584 JYX786584 KIT786584 KSP786584 LCL786584 LMH786584 LWD786584 MFZ786584 MPV786584 MZR786584 NJN786584 NTJ786584 ODF786584 ONB786584 OWX786584 PGT786584 PQP786584 QAL786584 QKH786584 QUD786584 RDZ786584 RNV786584 RXR786584 SHN786584 SRJ786584 TBF786584 TLB786584 TUX786584 UET786584 UOP786584 UYL786584 VIH786584 VSD786584 WBZ786584 WLV786584 WVR786584 J852120 JF852120 TB852120 ACX852120 AMT852120 AWP852120 BGL852120 BQH852120 CAD852120 CJZ852120 CTV852120 DDR852120 DNN852120 DXJ852120 EHF852120 ERB852120 FAX852120 FKT852120 FUP852120 GEL852120 GOH852120 GYD852120 HHZ852120 HRV852120 IBR852120 ILN852120 IVJ852120 JFF852120 JPB852120 JYX852120 KIT852120 KSP852120 LCL852120 LMH852120 LWD852120 MFZ852120 MPV852120 MZR852120 NJN852120 NTJ852120 ODF852120 ONB852120 OWX852120 PGT852120 PQP852120 QAL852120 QKH852120 QUD852120 RDZ852120 RNV852120 RXR852120 SHN852120 SRJ852120 TBF852120 TLB852120 TUX852120 UET852120 UOP852120 UYL852120 VIH852120 VSD852120 WBZ852120 WLV852120 WVR852120 J917656 JF917656 TB917656 ACX917656 AMT917656 AWP917656 BGL917656 BQH917656 CAD917656 CJZ917656 CTV917656 DDR917656 DNN917656 DXJ917656 EHF917656 ERB917656 FAX917656 FKT917656 FUP917656 GEL917656 GOH917656 GYD917656 HHZ917656 HRV917656 IBR917656 ILN917656 IVJ917656 JFF917656 JPB917656 JYX917656 KIT917656 KSP917656 LCL917656 LMH917656 LWD917656 MFZ917656 MPV917656 MZR917656 NJN917656 NTJ917656 ODF917656 ONB917656 OWX917656 PGT917656 PQP917656 QAL917656 QKH917656 QUD917656 RDZ917656 RNV917656 RXR917656 SHN917656 SRJ917656 TBF917656 TLB917656 TUX917656 UET917656 UOP917656 UYL917656 VIH917656 VSD917656 WBZ917656 WLV917656 WVR917656 J983192 JF983192 TB983192 ACX983192 AMT983192 AWP983192 BGL983192 BQH983192 CAD983192 CJZ983192 CTV983192 DDR983192 DNN983192 DXJ983192 EHF983192 ERB983192 FAX983192 FKT983192 FUP983192 GEL983192 GOH983192 GYD983192 HHZ983192 HRV983192 IBR983192 ILN983192 IVJ983192 JFF983192 JPB983192 JYX983192 KIT983192 KSP983192 LCL983192 LMH983192 LWD983192 MFZ983192 MPV983192 MZR983192 NJN983192 NTJ983192 ODF983192 ONB983192 OWX983192 PGT983192 PQP983192 QAL983192 QKH983192 QUD983192 RDZ983192 RNV983192 RXR983192 SHN983192 SRJ983192 TBF983192 TLB983192 TUX983192 UET983192 UOP983192 UYL983192 VIH983192 VSD983192 WBZ983192 WLV983192 WVR983192 Q166:V166 JM166:JR166 TI166:TN166 ADE166:ADJ166 ANA166:ANF166 AWW166:AXB166 BGS166:BGX166 BQO166:BQT166 CAK166:CAP166 CKG166:CKL166 CUC166:CUH166 DDY166:DED166 DNU166:DNZ166 DXQ166:DXV166 EHM166:EHR166 ERI166:ERN166 FBE166:FBJ166 FLA166:FLF166 FUW166:FVB166 GES166:GEX166 GOO166:GOT166 GYK166:GYP166 HIG166:HIL166 HSC166:HSH166 IBY166:ICD166 ILU166:ILZ166 IVQ166:IVV166 JFM166:JFR166 JPI166:JPN166 JZE166:JZJ166 KJA166:KJF166 KSW166:KTB166 LCS166:LCX166 LMO166:LMT166 LWK166:LWP166 MGG166:MGL166 MQC166:MQH166 MZY166:NAD166 NJU166:NJZ166 NTQ166:NTV166 ODM166:ODR166 ONI166:ONN166 OXE166:OXJ166 PHA166:PHF166 PQW166:PRB166 QAS166:QAX166 QKO166:QKT166 QUK166:QUP166 REG166:REL166 ROC166:ROH166 RXY166:RYD166 SHU166:SHZ166 SRQ166:SRV166 TBM166:TBR166 TLI166:TLN166 TVE166:TVJ166 UFA166:UFF166 UOW166:UPB166 UYS166:UYX166 VIO166:VIT166 VSK166:VSP166 WCG166:WCL166 WMC166:WMH166 WVY166:WWD166 Q65702:V65702 JM65702:JR65702 TI65702:TN65702 ADE65702:ADJ65702 ANA65702:ANF65702 AWW65702:AXB65702 BGS65702:BGX65702 BQO65702:BQT65702 CAK65702:CAP65702 CKG65702:CKL65702 CUC65702:CUH65702 DDY65702:DED65702 DNU65702:DNZ65702 DXQ65702:DXV65702 EHM65702:EHR65702 ERI65702:ERN65702 FBE65702:FBJ65702 FLA65702:FLF65702 FUW65702:FVB65702 GES65702:GEX65702 GOO65702:GOT65702 GYK65702:GYP65702 HIG65702:HIL65702 HSC65702:HSH65702 IBY65702:ICD65702 ILU65702:ILZ65702 IVQ65702:IVV65702 JFM65702:JFR65702 JPI65702:JPN65702 JZE65702:JZJ65702 KJA65702:KJF65702 KSW65702:KTB65702 LCS65702:LCX65702 LMO65702:LMT65702 LWK65702:LWP65702 MGG65702:MGL65702 MQC65702:MQH65702 MZY65702:NAD65702 NJU65702:NJZ65702 NTQ65702:NTV65702 ODM65702:ODR65702 ONI65702:ONN65702 OXE65702:OXJ65702 PHA65702:PHF65702 PQW65702:PRB65702 QAS65702:QAX65702 QKO65702:QKT65702 QUK65702:QUP65702 REG65702:REL65702 ROC65702:ROH65702 RXY65702:RYD65702 SHU65702:SHZ65702 SRQ65702:SRV65702 TBM65702:TBR65702 TLI65702:TLN65702 TVE65702:TVJ65702 UFA65702:UFF65702 UOW65702:UPB65702 UYS65702:UYX65702 VIO65702:VIT65702 VSK65702:VSP65702 WCG65702:WCL65702 WMC65702:WMH65702 WVY65702:WWD65702 Q131238:V131238 JM131238:JR131238 TI131238:TN131238 ADE131238:ADJ131238 ANA131238:ANF131238 AWW131238:AXB131238 BGS131238:BGX131238 BQO131238:BQT131238 CAK131238:CAP131238 CKG131238:CKL131238 CUC131238:CUH131238 DDY131238:DED131238 DNU131238:DNZ131238 DXQ131238:DXV131238 EHM131238:EHR131238 ERI131238:ERN131238 FBE131238:FBJ131238 FLA131238:FLF131238 FUW131238:FVB131238 GES131238:GEX131238 GOO131238:GOT131238 GYK131238:GYP131238 HIG131238:HIL131238 HSC131238:HSH131238 IBY131238:ICD131238 ILU131238:ILZ131238 IVQ131238:IVV131238 JFM131238:JFR131238 JPI131238:JPN131238 JZE131238:JZJ131238 KJA131238:KJF131238 KSW131238:KTB131238 LCS131238:LCX131238 LMO131238:LMT131238 LWK131238:LWP131238 MGG131238:MGL131238 MQC131238:MQH131238 MZY131238:NAD131238 NJU131238:NJZ131238 NTQ131238:NTV131238 ODM131238:ODR131238 ONI131238:ONN131238 OXE131238:OXJ131238 PHA131238:PHF131238 PQW131238:PRB131238 QAS131238:QAX131238 QKO131238:QKT131238 QUK131238:QUP131238 REG131238:REL131238 ROC131238:ROH131238 RXY131238:RYD131238 SHU131238:SHZ131238 SRQ131238:SRV131238 TBM131238:TBR131238 TLI131238:TLN131238 TVE131238:TVJ131238 UFA131238:UFF131238 UOW131238:UPB131238 UYS131238:UYX131238 VIO131238:VIT131238 VSK131238:VSP131238 WCG131238:WCL131238 WMC131238:WMH131238 WVY131238:WWD131238 Q196774:V196774 JM196774:JR196774 TI196774:TN196774 ADE196774:ADJ196774 ANA196774:ANF196774 AWW196774:AXB196774 BGS196774:BGX196774 BQO196774:BQT196774 CAK196774:CAP196774 CKG196774:CKL196774 CUC196774:CUH196774 DDY196774:DED196774 DNU196774:DNZ196774 DXQ196774:DXV196774 EHM196774:EHR196774 ERI196774:ERN196774 FBE196774:FBJ196774 FLA196774:FLF196774 FUW196774:FVB196774 GES196774:GEX196774 GOO196774:GOT196774 GYK196774:GYP196774 HIG196774:HIL196774 HSC196774:HSH196774 IBY196774:ICD196774 ILU196774:ILZ196774 IVQ196774:IVV196774 JFM196774:JFR196774 JPI196774:JPN196774 JZE196774:JZJ196774 KJA196774:KJF196774 KSW196774:KTB196774 LCS196774:LCX196774 LMO196774:LMT196774 LWK196774:LWP196774 MGG196774:MGL196774 MQC196774:MQH196774 MZY196774:NAD196774 NJU196774:NJZ196774 NTQ196774:NTV196774 ODM196774:ODR196774 ONI196774:ONN196774 OXE196774:OXJ196774 PHA196774:PHF196774 PQW196774:PRB196774 QAS196774:QAX196774 QKO196774:QKT196774 QUK196774:QUP196774 REG196774:REL196774 ROC196774:ROH196774 RXY196774:RYD196774 SHU196774:SHZ196774 SRQ196774:SRV196774 TBM196774:TBR196774 TLI196774:TLN196774 TVE196774:TVJ196774 UFA196774:UFF196774 UOW196774:UPB196774 UYS196774:UYX196774 VIO196774:VIT196774 VSK196774:VSP196774 WCG196774:WCL196774 WMC196774:WMH196774 WVY196774:WWD196774 Q262310:V262310 JM262310:JR262310 TI262310:TN262310 ADE262310:ADJ262310 ANA262310:ANF262310 AWW262310:AXB262310 BGS262310:BGX262310 BQO262310:BQT262310 CAK262310:CAP262310 CKG262310:CKL262310 CUC262310:CUH262310 DDY262310:DED262310 DNU262310:DNZ262310 DXQ262310:DXV262310 EHM262310:EHR262310 ERI262310:ERN262310 FBE262310:FBJ262310 FLA262310:FLF262310 FUW262310:FVB262310 GES262310:GEX262310 GOO262310:GOT262310 GYK262310:GYP262310 HIG262310:HIL262310 HSC262310:HSH262310 IBY262310:ICD262310 ILU262310:ILZ262310 IVQ262310:IVV262310 JFM262310:JFR262310 JPI262310:JPN262310 JZE262310:JZJ262310 KJA262310:KJF262310 KSW262310:KTB262310 LCS262310:LCX262310 LMO262310:LMT262310 LWK262310:LWP262310 MGG262310:MGL262310 MQC262310:MQH262310 MZY262310:NAD262310 NJU262310:NJZ262310 NTQ262310:NTV262310 ODM262310:ODR262310 ONI262310:ONN262310 OXE262310:OXJ262310 PHA262310:PHF262310 PQW262310:PRB262310 QAS262310:QAX262310 QKO262310:QKT262310 QUK262310:QUP262310 REG262310:REL262310 ROC262310:ROH262310 RXY262310:RYD262310 SHU262310:SHZ262310 SRQ262310:SRV262310 TBM262310:TBR262310 TLI262310:TLN262310 TVE262310:TVJ262310 UFA262310:UFF262310 UOW262310:UPB262310 UYS262310:UYX262310 VIO262310:VIT262310 VSK262310:VSP262310 WCG262310:WCL262310 WMC262310:WMH262310 WVY262310:WWD262310 Q327846:V327846 JM327846:JR327846 TI327846:TN327846 ADE327846:ADJ327846 ANA327846:ANF327846 AWW327846:AXB327846 BGS327846:BGX327846 BQO327846:BQT327846 CAK327846:CAP327846 CKG327846:CKL327846 CUC327846:CUH327846 DDY327846:DED327846 DNU327846:DNZ327846 DXQ327846:DXV327846 EHM327846:EHR327846 ERI327846:ERN327846 FBE327846:FBJ327846 FLA327846:FLF327846 FUW327846:FVB327846 GES327846:GEX327846 GOO327846:GOT327846 GYK327846:GYP327846 HIG327846:HIL327846 HSC327846:HSH327846 IBY327846:ICD327846 ILU327846:ILZ327846 IVQ327846:IVV327846 JFM327846:JFR327846 JPI327846:JPN327846 JZE327846:JZJ327846 KJA327846:KJF327846 KSW327846:KTB327846 LCS327846:LCX327846 LMO327846:LMT327846 LWK327846:LWP327846 MGG327846:MGL327846 MQC327846:MQH327846 MZY327846:NAD327846 NJU327846:NJZ327846 NTQ327846:NTV327846 ODM327846:ODR327846 ONI327846:ONN327846 OXE327846:OXJ327846 PHA327846:PHF327846 PQW327846:PRB327846 QAS327846:QAX327846 QKO327846:QKT327846 QUK327846:QUP327846 REG327846:REL327846 ROC327846:ROH327846 RXY327846:RYD327846 SHU327846:SHZ327846 SRQ327846:SRV327846 TBM327846:TBR327846 TLI327846:TLN327846 TVE327846:TVJ327846 UFA327846:UFF327846 UOW327846:UPB327846 UYS327846:UYX327846 VIO327846:VIT327846 VSK327846:VSP327846 WCG327846:WCL327846 WMC327846:WMH327846 WVY327846:WWD327846 Q393382:V393382 JM393382:JR393382 TI393382:TN393382 ADE393382:ADJ393382 ANA393382:ANF393382 AWW393382:AXB393382 BGS393382:BGX393382 BQO393382:BQT393382 CAK393382:CAP393382 CKG393382:CKL393382 CUC393382:CUH393382 DDY393382:DED393382 DNU393382:DNZ393382 DXQ393382:DXV393382 EHM393382:EHR393382 ERI393382:ERN393382 FBE393382:FBJ393382 FLA393382:FLF393382 FUW393382:FVB393382 GES393382:GEX393382 GOO393382:GOT393382 GYK393382:GYP393382 HIG393382:HIL393382 HSC393382:HSH393382 IBY393382:ICD393382 ILU393382:ILZ393382 IVQ393382:IVV393382 JFM393382:JFR393382 JPI393382:JPN393382 JZE393382:JZJ393382 KJA393382:KJF393382 KSW393382:KTB393382 LCS393382:LCX393382 LMO393382:LMT393382 LWK393382:LWP393382 MGG393382:MGL393382 MQC393382:MQH393382 MZY393382:NAD393382 NJU393382:NJZ393382 NTQ393382:NTV393382 ODM393382:ODR393382 ONI393382:ONN393382 OXE393382:OXJ393382 PHA393382:PHF393382 PQW393382:PRB393382 QAS393382:QAX393382 QKO393382:QKT393382 QUK393382:QUP393382 REG393382:REL393382 ROC393382:ROH393382 RXY393382:RYD393382 SHU393382:SHZ393382 SRQ393382:SRV393382 TBM393382:TBR393382 TLI393382:TLN393382 TVE393382:TVJ393382 UFA393382:UFF393382 UOW393382:UPB393382 UYS393382:UYX393382 VIO393382:VIT393382 VSK393382:VSP393382 WCG393382:WCL393382 WMC393382:WMH393382 WVY393382:WWD393382 Q458918:V458918 JM458918:JR458918 TI458918:TN458918 ADE458918:ADJ458918 ANA458918:ANF458918 AWW458918:AXB458918 BGS458918:BGX458918 BQO458918:BQT458918 CAK458918:CAP458918 CKG458918:CKL458918 CUC458918:CUH458918 DDY458918:DED458918 DNU458918:DNZ458918 DXQ458918:DXV458918 EHM458918:EHR458918 ERI458918:ERN458918 FBE458918:FBJ458918 FLA458918:FLF458918 FUW458918:FVB458918 GES458918:GEX458918 GOO458918:GOT458918 GYK458918:GYP458918 HIG458918:HIL458918 HSC458918:HSH458918 IBY458918:ICD458918 ILU458918:ILZ458918 IVQ458918:IVV458918 JFM458918:JFR458918 JPI458918:JPN458918 JZE458918:JZJ458918 KJA458918:KJF458918 KSW458918:KTB458918 LCS458918:LCX458918 LMO458918:LMT458918 LWK458918:LWP458918 MGG458918:MGL458918 MQC458918:MQH458918 MZY458918:NAD458918 NJU458918:NJZ458918 NTQ458918:NTV458918 ODM458918:ODR458918 ONI458918:ONN458918 OXE458918:OXJ458918 PHA458918:PHF458918 PQW458918:PRB458918 QAS458918:QAX458918 QKO458918:QKT458918 QUK458918:QUP458918 REG458918:REL458918 ROC458918:ROH458918 RXY458918:RYD458918 SHU458918:SHZ458918 SRQ458918:SRV458918 TBM458918:TBR458918 TLI458918:TLN458918 TVE458918:TVJ458918 UFA458918:UFF458918 UOW458918:UPB458918 UYS458918:UYX458918 VIO458918:VIT458918 VSK458918:VSP458918 WCG458918:WCL458918 WMC458918:WMH458918 WVY458918:WWD458918 Q524454:V524454 JM524454:JR524454 TI524454:TN524454 ADE524454:ADJ524454 ANA524454:ANF524454 AWW524454:AXB524454 BGS524454:BGX524454 BQO524454:BQT524454 CAK524454:CAP524454 CKG524454:CKL524454 CUC524454:CUH524454 DDY524454:DED524454 DNU524454:DNZ524454 DXQ524454:DXV524454 EHM524454:EHR524454 ERI524454:ERN524454 FBE524454:FBJ524454 FLA524454:FLF524454 FUW524454:FVB524454 GES524454:GEX524454 GOO524454:GOT524454 GYK524454:GYP524454 HIG524454:HIL524454 HSC524454:HSH524454 IBY524454:ICD524454 ILU524454:ILZ524454 IVQ524454:IVV524454 JFM524454:JFR524454 JPI524454:JPN524454 JZE524454:JZJ524454 KJA524454:KJF524454 KSW524454:KTB524454 LCS524454:LCX524454 LMO524454:LMT524454 LWK524454:LWP524454 MGG524454:MGL524454 MQC524454:MQH524454 MZY524454:NAD524454 NJU524454:NJZ524454 NTQ524454:NTV524454 ODM524454:ODR524454 ONI524454:ONN524454 OXE524454:OXJ524454 PHA524454:PHF524454 PQW524454:PRB524454 QAS524454:QAX524454 QKO524454:QKT524454 QUK524454:QUP524454 REG524454:REL524454 ROC524454:ROH524454 RXY524454:RYD524454 SHU524454:SHZ524454 SRQ524454:SRV524454 TBM524454:TBR524454 TLI524454:TLN524454 TVE524454:TVJ524454 UFA524454:UFF524454 UOW524454:UPB524454 UYS524454:UYX524454 VIO524454:VIT524454 VSK524454:VSP524454 WCG524454:WCL524454 WMC524454:WMH524454 WVY524454:WWD524454 Q589990:V589990 JM589990:JR589990 TI589990:TN589990 ADE589990:ADJ589990 ANA589990:ANF589990 AWW589990:AXB589990 BGS589990:BGX589990 BQO589990:BQT589990 CAK589990:CAP589990 CKG589990:CKL589990 CUC589990:CUH589990 DDY589990:DED589990 DNU589990:DNZ589990 DXQ589990:DXV589990 EHM589990:EHR589990 ERI589990:ERN589990 FBE589990:FBJ589990 FLA589990:FLF589990 FUW589990:FVB589990 GES589990:GEX589990 GOO589990:GOT589990 GYK589990:GYP589990 HIG589990:HIL589990 HSC589990:HSH589990 IBY589990:ICD589990 ILU589990:ILZ589990 IVQ589990:IVV589990 JFM589990:JFR589990 JPI589990:JPN589990 JZE589990:JZJ589990 KJA589990:KJF589990 KSW589990:KTB589990 LCS589990:LCX589990 LMO589990:LMT589990 LWK589990:LWP589990 MGG589990:MGL589990 MQC589990:MQH589990 MZY589990:NAD589990 NJU589990:NJZ589990 NTQ589990:NTV589990 ODM589990:ODR589990 ONI589990:ONN589990 OXE589990:OXJ589990 PHA589990:PHF589990 PQW589990:PRB589990 QAS589990:QAX589990 QKO589990:QKT589990 QUK589990:QUP589990 REG589990:REL589990 ROC589990:ROH589990 RXY589990:RYD589990 SHU589990:SHZ589990 SRQ589990:SRV589990 TBM589990:TBR589990 TLI589990:TLN589990 TVE589990:TVJ589990 UFA589990:UFF589990 UOW589990:UPB589990 UYS589990:UYX589990 VIO589990:VIT589990 VSK589990:VSP589990 WCG589990:WCL589990 WMC589990:WMH589990 WVY589990:WWD589990 Q655526:V655526 JM655526:JR655526 TI655526:TN655526 ADE655526:ADJ655526 ANA655526:ANF655526 AWW655526:AXB655526 BGS655526:BGX655526 BQO655526:BQT655526 CAK655526:CAP655526 CKG655526:CKL655526 CUC655526:CUH655526 DDY655526:DED655526 DNU655526:DNZ655526 DXQ655526:DXV655526 EHM655526:EHR655526 ERI655526:ERN655526 FBE655526:FBJ655526 FLA655526:FLF655526 FUW655526:FVB655526 GES655526:GEX655526 GOO655526:GOT655526 GYK655526:GYP655526 HIG655526:HIL655526 HSC655526:HSH655526 IBY655526:ICD655526 ILU655526:ILZ655526 IVQ655526:IVV655526 JFM655526:JFR655526 JPI655526:JPN655526 JZE655526:JZJ655526 KJA655526:KJF655526 KSW655526:KTB655526 LCS655526:LCX655526 LMO655526:LMT655526 LWK655526:LWP655526 MGG655526:MGL655526 MQC655526:MQH655526 MZY655526:NAD655526 NJU655526:NJZ655526 NTQ655526:NTV655526 ODM655526:ODR655526 ONI655526:ONN655526 OXE655526:OXJ655526 PHA655526:PHF655526 PQW655526:PRB655526 QAS655526:QAX655526 QKO655526:QKT655526 QUK655526:QUP655526 REG655526:REL655526 ROC655526:ROH655526 RXY655526:RYD655526 SHU655526:SHZ655526 SRQ655526:SRV655526 TBM655526:TBR655526 TLI655526:TLN655526 TVE655526:TVJ655526 UFA655526:UFF655526 UOW655526:UPB655526 UYS655526:UYX655526 VIO655526:VIT655526 VSK655526:VSP655526 WCG655526:WCL655526 WMC655526:WMH655526 WVY655526:WWD655526 Q721062:V721062 JM721062:JR721062 TI721062:TN721062 ADE721062:ADJ721062 ANA721062:ANF721062 AWW721062:AXB721062 BGS721062:BGX721062 BQO721062:BQT721062 CAK721062:CAP721062 CKG721062:CKL721062 CUC721062:CUH721062 DDY721062:DED721062 DNU721062:DNZ721062 DXQ721062:DXV721062 EHM721062:EHR721062 ERI721062:ERN721062 FBE721062:FBJ721062 FLA721062:FLF721062 FUW721062:FVB721062 GES721062:GEX721062 GOO721062:GOT721062 GYK721062:GYP721062 HIG721062:HIL721062 HSC721062:HSH721062 IBY721062:ICD721062 ILU721062:ILZ721062 IVQ721062:IVV721062 JFM721062:JFR721062 JPI721062:JPN721062 JZE721062:JZJ721062 KJA721062:KJF721062 KSW721062:KTB721062 LCS721062:LCX721062 LMO721062:LMT721062 LWK721062:LWP721062 MGG721062:MGL721062 MQC721062:MQH721062 MZY721062:NAD721062 NJU721062:NJZ721062 NTQ721062:NTV721062 ODM721062:ODR721062 ONI721062:ONN721062 OXE721062:OXJ721062 PHA721062:PHF721062 PQW721062:PRB721062 QAS721062:QAX721062 QKO721062:QKT721062 QUK721062:QUP721062 REG721062:REL721062 ROC721062:ROH721062 RXY721062:RYD721062 SHU721062:SHZ721062 SRQ721062:SRV721062 TBM721062:TBR721062 TLI721062:TLN721062 TVE721062:TVJ721062 UFA721062:UFF721062 UOW721062:UPB721062 UYS721062:UYX721062 VIO721062:VIT721062 VSK721062:VSP721062 WCG721062:WCL721062 WMC721062:WMH721062 WVY721062:WWD721062 Q786598:V786598 JM786598:JR786598 TI786598:TN786598 ADE786598:ADJ786598 ANA786598:ANF786598 AWW786598:AXB786598 BGS786598:BGX786598 BQO786598:BQT786598 CAK786598:CAP786598 CKG786598:CKL786598 CUC786598:CUH786598 DDY786598:DED786598 DNU786598:DNZ786598 DXQ786598:DXV786598 EHM786598:EHR786598 ERI786598:ERN786598 FBE786598:FBJ786598 FLA786598:FLF786598 FUW786598:FVB786598 GES786598:GEX786598 GOO786598:GOT786598 GYK786598:GYP786598 HIG786598:HIL786598 HSC786598:HSH786598 IBY786598:ICD786598 ILU786598:ILZ786598 IVQ786598:IVV786598 JFM786598:JFR786598 JPI786598:JPN786598 JZE786598:JZJ786598 KJA786598:KJF786598 KSW786598:KTB786598 LCS786598:LCX786598 LMO786598:LMT786598 LWK786598:LWP786598 MGG786598:MGL786598 MQC786598:MQH786598 MZY786598:NAD786598 NJU786598:NJZ786598 NTQ786598:NTV786598 ODM786598:ODR786598 ONI786598:ONN786598 OXE786598:OXJ786598 PHA786598:PHF786598 PQW786598:PRB786598 QAS786598:QAX786598 QKO786598:QKT786598 QUK786598:QUP786598 REG786598:REL786598 ROC786598:ROH786598 RXY786598:RYD786598 SHU786598:SHZ786598 SRQ786598:SRV786598 TBM786598:TBR786598 TLI786598:TLN786598 TVE786598:TVJ786598 UFA786598:UFF786598 UOW786598:UPB786598 UYS786598:UYX786598 VIO786598:VIT786598 VSK786598:VSP786598 WCG786598:WCL786598 WMC786598:WMH786598 WVY786598:WWD786598 Q852134:V852134 JM852134:JR852134 TI852134:TN852134 ADE852134:ADJ852134 ANA852134:ANF852134 AWW852134:AXB852134 BGS852134:BGX852134 BQO852134:BQT852134 CAK852134:CAP852134 CKG852134:CKL852134 CUC852134:CUH852134 DDY852134:DED852134 DNU852134:DNZ852134 DXQ852134:DXV852134 EHM852134:EHR852134 ERI852134:ERN852134 FBE852134:FBJ852134 FLA852134:FLF852134 FUW852134:FVB852134 GES852134:GEX852134 GOO852134:GOT852134 GYK852134:GYP852134 HIG852134:HIL852134 HSC852134:HSH852134 IBY852134:ICD852134 ILU852134:ILZ852134 IVQ852134:IVV852134 JFM852134:JFR852134 JPI852134:JPN852134 JZE852134:JZJ852134 KJA852134:KJF852134 KSW852134:KTB852134 LCS852134:LCX852134 LMO852134:LMT852134 LWK852134:LWP852134 MGG852134:MGL852134 MQC852134:MQH852134 MZY852134:NAD852134 NJU852134:NJZ852134 NTQ852134:NTV852134 ODM852134:ODR852134 ONI852134:ONN852134 OXE852134:OXJ852134 PHA852134:PHF852134 PQW852134:PRB852134 QAS852134:QAX852134 QKO852134:QKT852134 QUK852134:QUP852134 REG852134:REL852134 ROC852134:ROH852134 RXY852134:RYD852134 SHU852134:SHZ852134 SRQ852134:SRV852134 TBM852134:TBR852134 TLI852134:TLN852134 TVE852134:TVJ852134 UFA852134:UFF852134 UOW852134:UPB852134 UYS852134:UYX852134 VIO852134:VIT852134 VSK852134:VSP852134 WCG852134:WCL852134 WMC852134:WMH852134 WVY852134:WWD852134 Q917670:V917670 JM917670:JR917670 TI917670:TN917670 ADE917670:ADJ917670 ANA917670:ANF917670 AWW917670:AXB917670 BGS917670:BGX917670 BQO917670:BQT917670 CAK917670:CAP917670 CKG917670:CKL917670 CUC917670:CUH917670 DDY917670:DED917670 DNU917670:DNZ917670 DXQ917670:DXV917670 EHM917670:EHR917670 ERI917670:ERN917670 FBE917670:FBJ917670 FLA917670:FLF917670 FUW917670:FVB917670 GES917670:GEX917670 GOO917670:GOT917670 GYK917670:GYP917670 HIG917670:HIL917670 HSC917670:HSH917670 IBY917670:ICD917670 ILU917670:ILZ917670 IVQ917670:IVV917670 JFM917670:JFR917670 JPI917670:JPN917670 JZE917670:JZJ917670 KJA917670:KJF917670 KSW917670:KTB917670 LCS917670:LCX917670 LMO917670:LMT917670 LWK917670:LWP917670 MGG917670:MGL917670 MQC917670:MQH917670 MZY917670:NAD917670 NJU917670:NJZ917670 NTQ917670:NTV917670 ODM917670:ODR917670 ONI917670:ONN917670 OXE917670:OXJ917670 PHA917670:PHF917670 PQW917670:PRB917670 QAS917670:QAX917670 QKO917670:QKT917670 QUK917670:QUP917670 REG917670:REL917670 ROC917670:ROH917670 RXY917670:RYD917670 SHU917670:SHZ917670 SRQ917670:SRV917670 TBM917670:TBR917670 TLI917670:TLN917670 TVE917670:TVJ917670 UFA917670:UFF917670 UOW917670:UPB917670 UYS917670:UYX917670 VIO917670:VIT917670 VSK917670:VSP917670 WCG917670:WCL917670 WMC917670:WMH917670 WVY917670:WWD917670 Q983206:V983206 JM983206:JR983206 TI983206:TN983206 ADE983206:ADJ983206 ANA983206:ANF983206 AWW983206:AXB983206 BGS983206:BGX983206 BQO983206:BQT983206 CAK983206:CAP983206 CKG983206:CKL983206 CUC983206:CUH983206 DDY983206:DED983206 DNU983206:DNZ983206 DXQ983206:DXV983206 EHM983206:EHR983206 ERI983206:ERN983206 FBE983206:FBJ983206 FLA983206:FLF983206 FUW983206:FVB983206 GES983206:GEX983206 GOO983206:GOT983206 GYK983206:GYP983206 HIG983206:HIL983206 HSC983206:HSH983206 IBY983206:ICD983206 ILU983206:ILZ983206 IVQ983206:IVV983206 JFM983206:JFR983206 JPI983206:JPN983206 JZE983206:JZJ983206 KJA983206:KJF983206 KSW983206:KTB983206 LCS983206:LCX983206 LMO983206:LMT983206 LWK983206:LWP983206 MGG983206:MGL983206 MQC983206:MQH983206 MZY983206:NAD983206 NJU983206:NJZ983206 NTQ983206:NTV983206 ODM983206:ODR983206 ONI983206:ONN983206 OXE983206:OXJ983206 PHA983206:PHF983206 PQW983206:PRB983206 QAS983206:QAX983206 QKO983206:QKT983206 QUK983206:QUP983206 REG983206:REL983206 ROC983206:ROH983206 RXY983206:RYD983206 SHU983206:SHZ983206 SRQ983206:SRV983206 TBM983206:TBR983206 TLI983206:TLN983206 TVE983206:TVJ983206 UFA983206:UFF983206 UOW983206:UPB983206 UYS983206:UYX983206 VIO983206:VIT983206 VSK983206:VSP983206 WCG983206:WCL983206 WMC983206:WMH983206 WVY983206:WWD983206 G170:W171 JC170:JS171 SY170:TO171 ACU170:ADK171 AMQ170:ANG171 AWM170:AXC171 BGI170:BGY171 BQE170:BQU171 CAA170:CAQ171 CJW170:CKM171 CTS170:CUI171 DDO170:DEE171 DNK170:DOA171 DXG170:DXW171 EHC170:EHS171 EQY170:ERO171 FAU170:FBK171 FKQ170:FLG171 FUM170:FVC171 GEI170:GEY171 GOE170:GOU171 GYA170:GYQ171 HHW170:HIM171 HRS170:HSI171 IBO170:ICE171 ILK170:IMA171 IVG170:IVW171 JFC170:JFS171 JOY170:JPO171 JYU170:JZK171 KIQ170:KJG171 KSM170:KTC171 LCI170:LCY171 LME170:LMU171 LWA170:LWQ171 MFW170:MGM171 MPS170:MQI171 MZO170:NAE171 NJK170:NKA171 NTG170:NTW171 ODC170:ODS171 OMY170:ONO171 OWU170:OXK171 PGQ170:PHG171 PQM170:PRC171 QAI170:QAY171 QKE170:QKU171 QUA170:QUQ171 RDW170:REM171 RNS170:ROI171 RXO170:RYE171 SHK170:SIA171 SRG170:SRW171 TBC170:TBS171 TKY170:TLO171 TUU170:TVK171 UEQ170:UFG171 UOM170:UPC171 UYI170:UYY171 VIE170:VIU171 VSA170:VSQ171 WBW170:WCM171 WLS170:WMI171 WVO170:WWE171 G65706:W65707 JC65706:JS65707 SY65706:TO65707 ACU65706:ADK65707 AMQ65706:ANG65707 AWM65706:AXC65707 BGI65706:BGY65707 BQE65706:BQU65707 CAA65706:CAQ65707 CJW65706:CKM65707 CTS65706:CUI65707 DDO65706:DEE65707 DNK65706:DOA65707 DXG65706:DXW65707 EHC65706:EHS65707 EQY65706:ERO65707 FAU65706:FBK65707 FKQ65706:FLG65707 FUM65706:FVC65707 GEI65706:GEY65707 GOE65706:GOU65707 GYA65706:GYQ65707 HHW65706:HIM65707 HRS65706:HSI65707 IBO65706:ICE65707 ILK65706:IMA65707 IVG65706:IVW65707 JFC65706:JFS65707 JOY65706:JPO65707 JYU65706:JZK65707 KIQ65706:KJG65707 KSM65706:KTC65707 LCI65706:LCY65707 LME65706:LMU65707 LWA65706:LWQ65707 MFW65706:MGM65707 MPS65706:MQI65707 MZO65706:NAE65707 NJK65706:NKA65707 NTG65706:NTW65707 ODC65706:ODS65707 OMY65706:ONO65707 OWU65706:OXK65707 PGQ65706:PHG65707 PQM65706:PRC65707 QAI65706:QAY65707 QKE65706:QKU65707 QUA65706:QUQ65707 RDW65706:REM65707 RNS65706:ROI65707 RXO65706:RYE65707 SHK65706:SIA65707 SRG65706:SRW65707 TBC65706:TBS65707 TKY65706:TLO65707 TUU65706:TVK65707 UEQ65706:UFG65707 UOM65706:UPC65707 UYI65706:UYY65707 VIE65706:VIU65707 VSA65706:VSQ65707 WBW65706:WCM65707 WLS65706:WMI65707 WVO65706:WWE65707 G131242:W131243 JC131242:JS131243 SY131242:TO131243 ACU131242:ADK131243 AMQ131242:ANG131243 AWM131242:AXC131243 BGI131242:BGY131243 BQE131242:BQU131243 CAA131242:CAQ131243 CJW131242:CKM131243 CTS131242:CUI131243 DDO131242:DEE131243 DNK131242:DOA131243 DXG131242:DXW131243 EHC131242:EHS131243 EQY131242:ERO131243 FAU131242:FBK131243 FKQ131242:FLG131243 FUM131242:FVC131243 GEI131242:GEY131243 GOE131242:GOU131243 GYA131242:GYQ131243 HHW131242:HIM131243 HRS131242:HSI131243 IBO131242:ICE131243 ILK131242:IMA131243 IVG131242:IVW131243 JFC131242:JFS131243 JOY131242:JPO131243 JYU131242:JZK131243 KIQ131242:KJG131243 KSM131242:KTC131243 LCI131242:LCY131243 LME131242:LMU131243 LWA131242:LWQ131243 MFW131242:MGM131243 MPS131242:MQI131243 MZO131242:NAE131243 NJK131242:NKA131243 NTG131242:NTW131243 ODC131242:ODS131243 OMY131242:ONO131243 OWU131242:OXK131243 PGQ131242:PHG131243 PQM131242:PRC131243 QAI131242:QAY131243 QKE131242:QKU131243 QUA131242:QUQ131243 RDW131242:REM131243 RNS131242:ROI131243 RXO131242:RYE131243 SHK131242:SIA131243 SRG131242:SRW131243 TBC131242:TBS131243 TKY131242:TLO131243 TUU131242:TVK131243 UEQ131242:UFG131243 UOM131242:UPC131243 UYI131242:UYY131243 VIE131242:VIU131243 VSA131242:VSQ131243 WBW131242:WCM131243 WLS131242:WMI131243 WVO131242:WWE131243 G196778:W196779 JC196778:JS196779 SY196778:TO196779 ACU196778:ADK196779 AMQ196778:ANG196779 AWM196778:AXC196779 BGI196778:BGY196779 BQE196778:BQU196779 CAA196778:CAQ196779 CJW196778:CKM196779 CTS196778:CUI196779 DDO196778:DEE196779 DNK196778:DOA196779 DXG196778:DXW196779 EHC196778:EHS196779 EQY196778:ERO196779 FAU196778:FBK196779 FKQ196778:FLG196779 FUM196778:FVC196779 GEI196778:GEY196779 GOE196778:GOU196779 GYA196778:GYQ196779 HHW196778:HIM196779 HRS196778:HSI196779 IBO196778:ICE196779 ILK196778:IMA196779 IVG196778:IVW196779 JFC196778:JFS196779 JOY196778:JPO196779 JYU196778:JZK196779 KIQ196778:KJG196779 KSM196778:KTC196779 LCI196778:LCY196779 LME196778:LMU196779 LWA196778:LWQ196779 MFW196778:MGM196779 MPS196778:MQI196779 MZO196778:NAE196779 NJK196778:NKA196779 NTG196778:NTW196779 ODC196778:ODS196779 OMY196778:ONO196779 OWU196778:OXK196779 PGQ196778:PHG196779 PQM196778:PRC196779 QAI196778:QAY196779 QKE196778:QKU196779 QUA196778:QUQ196779 RDW196778:REM196779 RNS196778:ROI196779 RXO196778:RYE196779 SHK196778:SIA196779 SRG196778:SRW196779 TBC196778:TBS196779 TKY196778:TLO196779 TUU196778:TVK196779 UEQ196778:UFG196779 UOM196778:UPC196779 UYI196778:UYY196779 VIE196778:VIU196779 VSA196778:VSQ196779 WBW196778:WCM196779 WLS196778:WMI196779 WVO196778:WWE196779 G262314:W262315 JC262314:JS262315 SY262314:TO262315 ACU262314:ADK262315 AMQ262314:ANG262315 AWM262314:AXC262315 BGI262314:BGY262315 BQE262314:BQU262315 CAA262314:CAQ262315 CJW262314:CKM262315 CTS262314:CUI262315 DDO262314:DEE262315 DNK262314:DOA262315 DXG262314:DXW262315 EHC262314:EHS262315 EQY262314:ERO262315 FAU262314:FBK262315 FKQ262314:FLG262315 FUM262314:FVC262315 GEI262314:GEY262315 GOE262314:GOU262315 GYA262314:GYQ262315 HHW262314:HIM262315 HRS262314:HSI262315 IBO262314:ICE262315 ILK262314:IMA262315 IVG262314:IVW262315 JFC262314:JFS262315 JOY262314:JPO262315 JYU262314:JZK262315 KIQ262314:KJG262315 KSM262314:KTC262315 LCI262314:LCY262315 LME262314:LMU262315 LWA262314:LWQ262315 MFW262314:MGM262315 MPS262314:MQI262315 MZO262314:NAE262315 NJK262314:NKA262315 NTG262314:NTW262315 ODC262314:ODS262315 OMY262314:ONO262315 OWU262314:OXK262315 PGQ262314:PHG262315 PQM262314:PRC262315 QAI262314:QAY262315 QKE262314:QKU262315 QUA262314:QUQ262315 RDW262314:REM262315 RNS262314:ROI262315 RXO262314:RYE262315 SHK262314:SIA262315 SRG262314:SRW262315 TBC262314:TBS262315 TKY262314:TLO262315 TUU262314:TVK262315 UEQ262314:UFG262315 UOM262314:UPC262315 UYI262314:UYY262315 VIE262314:VIU262315 VSA262314:VSQ262315 WBW262314:WCM262315 WLS262314:WMI262315 WVO262314:WWE262315 G327850:W327851 JC327850:JS327851 SY327850:TO327851 ACU327850:ADK327851 AMQ327850:ANG327851 AWM327850:AXC327851 BGI327850:BGY327851 BQE327850:BQU327851 CAA327850:CAQ327851 CJW327850:CKM327851 CTS327850:CUI327851 DDO327850:DEE327851 DNK327850:DOA327851 DXG327850:DXW327851 EHC327850:EHS327851 EQY327850:ERO327851 FAU327850:FBK327851 FKQ327850:FLG327851 FUM327850:FVC327851 GEI327850:GEY327851 GOE327850:GOU327851 GYA327850:GYQ327851 HHW327850:HIM327851 HRS327850:HSI327851 IBO327850:ICE327851 ILK327850:IMA327851 IVG327850:IVW327851 JFC327850:JFS327851 JOY327850:JPO327851 JYU327850:JZK327851 KIQ327850:KJG327851 KSM327850:KTC327851 LCI327850:LCY327851 LME327850:LMU327851 LWA327850:LWQ327851 MFW327850:MGM327851 MPS327850:MQI327851 MZO327850:NAE327851 NJK327850:NKA327851 NTG327850:NTW327851 ODC327850:ODS327851 OMY327850:ONO327851 OWU327850:OXK327851 PGQ327850:PHG327851 PQM327850:PRC327851 QAI327850:QAY327851 QKE327850:QKU327851 QUA327850:QUQ327851 RDW327850:REM327851 RNS327850:ROI327851 RXO327850:RYE327851 SHK327850:SIA327851 SRG327850:SRW327851 TBC327850:TBS327851 TKY327850:TLO327851 TUU327850:TVK327851 UEQ327850:UFG327851 UOM327850:UPC327851 UYI327850:UYY327851 VIE327850:VIU327851 VSA327850:VSQ327851 WBW327850:WCM327851 WLS327850:WMI327851 WVO327850:WWE327851 G393386:W393387 JC393386:JS393387 SY393386:TO393387 ACU393386:ADK393387 AMQ393386:ANG393387 AWM393386:AXC393387 BGI393386:BGY393387 BQE393386:BQU393387 CAA393386:CAQ393387 CJW393386:CKM393387 CTS393386:CUI393387 DDO393386:DEE393387 DNK393386:DOA393387 DXG393386:DXW393387 EHC393386:EHS393387 EQY393386:ERO393387 FAU393386:FBK393387 FKQ393386:FLG393387 FUM393386:FVC393387 GEI393386:GEY393387 GOE393386:GOU393387 GYA393386:GYQ393387 HHW393386:HIM393387 HRS393386:HSI393387 IBO393386:ICE393387 ILK393386:IMA393387 IVG393386:IVW393387 JFC393386:JFS393387 JOY393386:JPO393387 JYU393386:JZK393387 KIQ393386:KJG393387 KSM393386:KTC393387 LCI393386:LCY393387 LME393386:LMU393387 LWA393386:LWQ393387 MFW393386:MGM393387 MPS393386:MQI393387 MZO393386:NAE393387 NJK393386:NKA393387 NTG393386:NTW393387 ODC393386:ODS393387 OMY393386:ONO393387 OWU393386:OXK393387 PGQ393386:PHG393387 PQM393386:PRC393387 QAI393386:QAY393387 QKE393386:QKU393387 QUA393386:QUQ393387 RDW393386:REM393387 RNS393386:ROI393387 RXO393386:RYE393387 SHK393386:SIA393387 SRG393386:SRW393387 TBC393386:TBS393387 TKY393386:TLO393387 TUU393386:TVK393387 UEQ393386:UFG393387 UOM393386:UPC393387 UYI393386:UYY393387 VIE393386:VIU393387 VSA393386:VSQ393387 WBW393386:WCM393387 WLS393386:WMI393387 WVO393386:WWE393387 G458922:W458923 JC458922:JS458923 SY458922:TO458923 ACU458922:ADK458923 AMQ458922:ANG458923 AWM458922:AXC458923 BGI458922:BGY458923 BQE458922:BQU458923 CAA458922:CAQ458923 CJW458922:CKM458923 CTS458922:CUI458923 DDO458922:DEE458923 DNK458922:DOA458923 DXG458922:DXW458923 EHC458922:EHS458923 EQY458922:ERO458923 FAU458922:FBK458923 FKQ458922:FLG458923 FUM458922:FVC458923 GEI458922:GEY458923 GOE458922:GOU458923 GYA458922:GYQ458923 HHW458922:HIM458923 HRS458922:HSI458923 IBO458922:ICE458923 ILK458922:IMA458923 IVG458922:IVW458923 JFC458922:JFS458923 JOY458922:JPO458923 JYU458922:JZK458923 KIQ458922:KJG458923 KSM458922:KTC458923 LCI458922:LCY458923 LME458922:LMU458923 LWA458922:LWQ458923 MFW458922:MGM458923 MPS458922:MQI458923 MZO458922:NAE458923 NJK458922:NKA458923 NTG458922:NTW458923 ODC458922:ODS458923 OMY458922:ONO458923 OWU458922:OXK458923 PGQ458922:PHG458923 PQM458922:PRC458923 QAI458922:QAY458923 QKE458922:QKU458923 QUA458922:QUQ458923 RDW458922:REM458923 RNS458922:ROI458923 RXO458922:RYE458923 SHK458922:SIA458923 SRG458922:SRW458923 TBC458922:TBS458923 TKY458922:TLO458923 TUU458922:TVK458923 UEQ458922:UFG458923 UOM458922:UPC458923 UYI458922:UYY458923 VIE458922:VIU458923 VSA458922:VSQ458923 WBW458922:WCM458923 WLS458922:WMI458923 WVO458922:WWE458923 G524458:W524459 JC524458:JS524459 SY524458:TO524459 ACU524458:ADK524459 AMQ524458:ANG524459 AWM524458:AXC524459 BGI524458:BGY524459 BQE524458:BQU524459 CAA524458:CAQ524459 CJW524458:CKM524459 CTS524458:CUI524459 DDO524458:DEE524459 DNK524458:DOA524459 DXG524458:DXW524459 EHC524458:EHS524459 EQY524458:ERO524459 FAU524458:FBK524459 FKQ524458:FLG524459 FUM524458:FVC524459 GEI524458:GEY524459 GOE524458:GOU524459 GYA524458:GYQ524459 HHW524458:HIM524459 HRS524458:HSI524459 IBO524458:ICE524459 ILK524458:IMA524459 IVG524458:IVW524459 JFC524458:JFS524459 JOY524458:JPO524459 JYU524458:JZK524459 KIQ524458:KJG524459 KSM524458:KTC524459 LCI524458:LCY524459 LME524458:LMU524459 LWA524458:LWQ524459 MFW524458:MGM524459 MPS524458:MQI524459 MZO524458:NAE524459 NJK524458:NKA524459 NTG524458:NTW524459 ODC524458:ODS524459 OMY524458:ONO524459 OWU524458:OXK524459 PGQ524458:PHG524459 PQM524458:PRC524459 QAI524458:QAY524459 QKE524458:QKU524459 QUA524458:QUQ524459 RDW524458:REM524459 RNS524458:ROI524459 RXO524458:RYE524459 SHK524458:SIA524459 SRG524458:SRW524459 TBC524458:TBS524459 TKY524458:TLO524459 TUU524458:TVK524459 UEQ524458:UFG524459 UOM524458:UPC524459 UYI524458:UYY524459 VIE524458:VIU524459 VSA524458:VSQ524459 WBW524458:WCM524459 WLS524458:WMI524459 WVO524458:WWE524459 G589994:W589995 JC589994:JS589995 SY589994:TO589995 ACU589994:ADK589995 AMQ589994:ANG589995 AWM589994:AXC589995 BGI589994:BGY589995 BQE589994:BQU589995 CAA589994:CAQ589995 CJW589994:CKM589995 CTS589994:CUI589995 DDO589994:DEE589995 DNK589994:DOA589995 DXG589994:DXW589995 EHC589994:EHS589995 EQY589994:ERO589995 FAU589994:FBK589995 FKQ589994:FLG589995 FUM589994:FVC589995 GEI589994:GEY589995 GOE589994:GOU589995 GYA589994:GYQ589995 HHW589994:HIM589995 HRS589994:HSI589995 IBO589994:ICE589995 ILK589994:IMA589995 IVG589994:IVW589995 JFC589994:JFS589995 JOY589994:JPO589995 JYU589994:JZK589995 KIQ589994:KJG589995 KSM589994:KTC589995 LCI589994:LCY589995 LME589994:LMU589995 LWA589994:LWQ589995 MFW589994:MGM589995 MPS589994:MQI589995 MZO589994:NAE589995 NJK589994:NKA589995 NTG589994:NTW589995 ODC589994:ODS589995 OMY589994:ONO589995 OWU589994:OXK589995 PGQ589994:PHG589995 PQM589994:PRC589995 QAI589994:QAY589995 QKE589994:QKU589995 QUA589994:QUQ589995 RDW589994:REM589995 RNS589994:ROI589995 RXO589994:RYE589995 SHK589994:SIA589995 SRG589994:SRW589995 TBC589994:TBS589995 TKY589994:TLO589995 TUU589994:TVK589995 UEQ589994:UFG589995 UOM589994:UPC589995 UYI589994:UYY589995 VIE589994:VIU589995 VSA589994:VSQ589995 WBW589994:WCM589995 WLS589994:WMI589995 WVO589994:WWE589995 G655530:W655531 JC655530:JS655531 SY655530:TO655531 ACU655530:ADK655531 AMQ655530:ANG655531 AWM655530:AXC655531 BGI655530:BGY655531 BQE655530:BQU655531 CAA655530:CAQ655531 CJW655530:CKM655531 CTS655530:CUI655531 DDO655530:DEE655531 DNK655530:DOA655531 DXG655530:DXW655531 EHC655530:EHS655531 EQY655530:ERO655531 FAU655530:FBK655531 FKQ655530:FLG655531 FUM655530:FVC655531 GEI655530:GEY655531 GOE655530:GOU655531 GYA655530:GYQ655531 HHW655530:HIM655531 HRS655530:HSI655531 IBO655530:ICE655531 ILK655530:IMA655531 IVG655530:IVW655531 JFC655530:JFS655531 JOY655530:JPO655531 JYU655530:JZK655531 KIQ655530:KJG655531 KSM655530:KTC655531 LCI655530:LCY655531 LME655530:LMU655531 LWA655530:LWQ655531 MFW655530:MGM655531 MPS655530:MQI655531 MZO655530:NAE655531 NJK655530:NKA655531 NTG655530:NTW655531 ODC655530:ODS655531 OMY655530:ONO655531 OWU655530:OXK655531 PGQ655530:PHG655531 PQM655530:PRC655531 QAI655530:QAY655531 QKE655530:QKU655531 QUA655530:QUQ655531 RDW655530:REM655531 RNS655530:ROI655531 RXO655530:RYE655531 SHK655530:SIA655531 SRG655530:SRW655531 TBC655530:TBS655531 TKY655530:TLO655531 TUU655530:TVK655531 UEQ655530:UFG655531 UOM655530:UPC655531 UYI655530:UYY655531 VIE655530:VIU655531 VSA655530:VSQ655531 WBW655530:WCM655531 WLS655530:WMI655531 WVO655530:WWE655531 G721066:W721067 JC721066:JS721067 SY721066:TO721067 ACU721066:ADK721067 AMQ721066:ANG721067 AWM721066:AXC721067 BGI721066:BGY721067 BQE721066:BQU721067 CAA721066:CAQ721067 CJW721066:CKM721067 CTS721066:CUI721067 DDO721066:DEE721067 DNK721066:DOA721067 DXG721066:DXW721067 EHC721066:EHS721067 EQY721066:ERO721067 FAU721066:FBK721067 FKQ721066:FLG721067 FUM721066:FVC721067 GEI721066:GEY721067 GOE721066:GOU721067 GYA721066:GYQ721067 HHW721066:HIM721067 HRS721066:HSI721067 IBO721066:ICE721067 ILK721066:IMA721067 IVG721066:IVW721067 JFC721066:JFS721067 JOY721066:JPO721067 JYU721066:JZK721067 KIQ721066:KJG721067 KSM721066:KTC721067 LCI721066:LCY721067 LME721066:LMU721067 LWA721066:LWQ721067 MFW721066:MGM721067 MPS721066:MQI721067 MZO721066:NAE721067 NJK721066:NKA721067 NTG721066:NTW721067 ODC721066:ODS721067 OMY721066:ONO721067 OWU721066:OXK721067 PGQ721066:PHG721067 PQM721066:PRC721067 QAI721066:QAY721067 QKE721066:QKU721067 QUA721066:QUQ721067 RDW721066:REM721067 RNS721066:ROI721067 RXO721066:RYE721067 SHK721066:SIA721067 SRG721066:SRW721067 TBC721066:TBS721067 TKY721066:TLO721067 TUU721066:TVK721067 UEQ721066:UFG721067 UOM721066:UPC721067 UYI721066:UYY721067 VIE721066:VIU721067 VSA721066:VSQ721067 WBW721066:WCM721067 WLS721066:WMI721067 WVO721066:WWE721067 G786602:W786603 JC786602:JS786603 SY786602:TO786603 ACU786602:ADK786603 AMQ786602:ANG786603 AWM786602:AXC786603 BGI786602:BGY786603 BQE786602:BQU786603 CAA786602:CAQ786603 CJW786602:CKM786603 CTS786602:CUI786603 DDO786602:DEE786603 DNK786602:DOA786603 DXG786602:DXW786603 EHC786602:EHS786603 EQY786602:ERO786603 FAU786602:FBK786603 FKQ786602:FLG786603 FUM786602:FVC786603 GEI786602:GEY786603 GOE786602:GOU786603 GYA786602:GYQ786603 HHW786602:HIM786603 HRS786602:HSI786603 IBO786602:ICE786603 ILK786602:IMA786603 IVG786602:IVW786603 JFC786602:JFS786603 JOY786602:JPO786603 JYU786602:JZK786603 KIQ786602:KJG786603 KSM786602:KTC786603 LCI786602:LCY786603 LME786602:LMU786603 LWA786602:LWQ786603 MFW786602:MGM786603 MPS786602:MQI786603 MZO786602:NAE786603 NJK786602:NKA786603 NTG786602:NTW786603 ODC786602:ODS786603 OMY786602:ONO786603 OWU786602:OXK786603 PGQ786602:PHG786603 PQM786602:PRC786603 QAI786602:QAY786603 QKE786602:QKU786603 QUA786602:QUQ786603 RDW786602:REM786603 RNS786602:ROI786603 RXO786602:RYE786603 SHK786602:SIA786603 SRG786602:SRW786603 TBC786602:TBS786603 TKY786602:TLO786603 TUU786602:TVK786603 UEQ786602:UFG786603 UOM786602:UPC786603 UYI786602:UYY786603 VIE786602:VIU786603 VSA786602:VSQ786603 WBW786602:WCM786603 WLS786602:WMI786603 WVO786602:WWE786603 G852138:W852139 JC852138:JS852139 SY852138:TO852139 ACU852138:ADK852139 AMQ852138:ANG852139 AWM852138:AXC852139 BGI852138:BGY852139 BQE852138:BQU852139 CAA852138:CAQ852139 CJW852138:CKM852139 CTS852138:CUI852139 DDO852138:DEE852139 DNK852138:DOA852139 DXG852138:DXW852139 EHC852138:EHS852139 EQY852138:ERO852139 FAU852138:FBK852139 FKQ852138:FLG852139 FUM852138:FVC852139 GEI852138:GEY852139 GOE852138:GOU852139 GYA852138:GYQ852139 HHW852138:HIM852139 HRS852138:HSI852139 IBO852138:ICE852139 ILK852138:IMA852139 IVG852138:IVW852139 JFC852138:JFS852139 JOY852138:JPO852139 JYU852138:JZK852139 KIQ852138:KJG852139 KSM852138:KTC852139 LCI852138:LCY852139 LME852138:LMU852139 LWA852138:LWQ852139 MFW852138:MGM852139 MPS852138:MQI852139 MZO852138:NAE852139 NJK852138:NKA852139 NTG852138:NTW852139 ODC852138:ODS852139 OMY852138:ONO852139 OWU852138:OXK852139 PGQ852138:PHG852139 PQM852138:PRC852139 QAI852138:QAY852139 QKE852138:QKU852139 QUA852138:QUQ852139 RDW852138:REM852139 RNS852138:ROI852139 RXO852138:RYE852139 SHK852138:SIA852139 SRG852138:SRW852139 TBC852138:TBS852139 TKY852138:TLO852139 TUU852138:TVK852139 UEQ852138:UFG852139 UOM852138:UPC852139 UYI852138:UYY852139 VIE852138:VIU852139 VSA852138:VSQ852139 WBW852138:WCM852139 WLS852138:WMI852139 WVO852138:WWE852139 G917674:W917675 JC917674:JS917675 SY917674:TO917675 ACU917674:ADK917675 AMQ917674:ANG917675 AWM917674:AXC917675 BGI917674:BGY917675 BQE917674:BQU917675 CAA917674:CAQ917675 CJW917674:CKM917675 CTS917674:CUI917675 DDO917674:DEE917675 DNK917674:DOA917675 DXG917674:DXW917675 EHC917674:EHS917675 EQY917674:ERO917675 FAU917674:FBK917675 FKQ917674:FLG917675 FUM917674:FVC917675 GEI917674:GEY917675 GOE917674:GOU917675 GYA917674:GYQ917675 HHW917674:HIM917675 HRS917674:HSI917675 IBO917674:ICE917675 ILK917674:IMA917675 IVG917674:IVW917675 JFC917674:JFS917675 JOY917674:JPO917675 JYU917674:JZK917675 KIQ917674:KJG917675 KSM917674:KTC917675 LCI917674:LCY917675 LME917674:LMU917675 LWA917674:LWQ917675 MFW917674:MGM917675 MPS917674:MQI917675 MZO917674:NAE917675 NJK917674:NKA917675 NTG917674:NTW917675 ODC917674:ODS917675 OMY917674:ONO917675 OWU917674:OXK917675 PGQ917674:PHG917675 PQM917674:PRC917675 QAI917674:QAY917675 QKE917674:QKU917675 QUA917674:QUQ917675 RDW917674:REM917675 RNS917674:ROI917675 RXO917674:RYE917675 SHK917674:SIA917675 SRG917674:SRW917675 TBC917674:TBS917675 TKY917674:TLO917675 TUU917674:TVK917675 UEQ917674:UFG917675 UOM917674:UPC917675 UYI917674:UYY917675 VIE917674:VIU917675 VSA917674:VSQ917675 WBW917674:WCM917675 WLS917674:WMI917675 WVO917674:WWE917675 G983210:W983211 JC983210:JS983211 SY983210:TO983211 ACU983210:ADK983211 AMQ983210:ANG983211 AWM983210:AXC983211 BGI983210:BGY983211 BQE983210:BQU983211 CAA983210:CAQ983211 CJW983210:CKM983211 CTS983210:CUI983211 DDO983210:DEE983211 DNK983210:DOA983211 DXG983210:DXW983211 EHC983210:EHS983211 EQY983210:ERO983211 FAU983210:FBK983211 FKQ983210:FLG983211 FUM983210:FVC983211 GEI983210:GEY983211 GOE983210:GOU983211 GYA983210:GYQ983211 HHW983210:HIM983211 HRS983210:HSI983211 IBO983210:ICE983211 ILK983210:IMA983211 IVG983210:IVW983211 JFC983210:JFS983211 JOY983210:JPO983211 JYU983210:JZK983211 KIQ983210:KJG983211 KSM983210:KTC983211 LCI983210:LCY983211 LME983210:LMU983211 LWA983210:LWQ983211 MFW983210:MGM983211 MPS983210:MQI983211 MZO983210:NAE983211 NJK983210:NKA983211 NTG983210:NTW983211 ODC983210:ODS983211 OMY983210:ONO983211 OWU983210:OXK983211 PGQ983210:PHG983211 PQM983210:PRC983211 QAI983210:QAY983211 QKE983210:QKU983211 QUA983210:QUQ983211 RDW983210:REM983211 RNS983210:ROI983211 RXO983210:RYE983211 SHK983210:SIA983211 SRG983210:SRW983211 TBC983210:TBS983211 TKY983210:TLO983211 TUU983210:TVK983211 UEQ983210:UFG983211 UOM983210:UPC983211 UYI983210:UYY983211 VIE983210:VIU983211 VSA983210:VSQ983211 WBW983210:WCM983211 WLS983210:WMI983211 WVO983210:WWE983211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J65708 JF65708 TB65708 ACX65708 AMT65708 AWP65708 BGL65708 BQH65708 CAD65708 CJZ65708 CTV65708 DDR65708 DNN65708 DXJ65708 EHF65708 ERB65708 FAX65708 FKT65708 FUP65708 GEL65708 GOH65708 GYD65708 HHZ65708 HRV65708 IBR65708 ILN65708 IVJ65708 JFF65708 JPB65708 JYX65708 KIT65708 KSP65708 LCL65708 LMH65708 LWD65708 MFZ65708 MPV65708 MZR65708 NJN65708 NTJ65708 ODF65708 ONB65708 OWX65708 PGT65708 PQP65708 QAL65708 QKH65708 QUD65708 RDZ65708 RNV65708 RXR65708 SHN65708 SRJ65708 TBF65708 TLB65708 TUX65708 UET65708 UOP65708 UYL65708 VIH65708 VSD65708 WBZ65708 WLV65708 WVR65708 J131244 JF131244 TB131244 ACX131244 AMT131244 AWP131244 BGL131244 BQH131244 CAD131244 CJZ131244 CTV131244 DDR131244 DNN131244 DXJ131244 EHF131244 ERB131244 FAX131244 FKT131244 FUP131244 GEL131244 GOH131244 GYD131244 HHZ131244 HRV131244 IBR131244 ILN131244 IVJ131244 JFF131244 JPB131244 JYX131244 KIT131244 KSP131244 LCL131244 LMH131244 LWD131244 MFZ131244 MPV131244 MZR131244 NJN131244 NTJ131244 ODF131244 ONB131244 OWX131244 PGT131244 PQP131244 QAL131244 QKH131244 QUD131244 RDZ131244 RNV131244 RXR131244 SHN131244 SRJ131244 TBF131244 TLB131244 TUX131244 UET131244 UOP131244 UYL131244 VIH131244 VSD131244 WBZ131244 WLV131244 WVR131244 J196780 JF196780 TB196780 ACX196780 AMT196780 AWP196780 BGL196780 BQH196780 CAD196780 CJZ196780 CTV196780 DDR196780 DNN196780 DXJ196780 EHF196780 ERB196780 FAX196780 FKT196780 FUP196780 GEL196780 GOH196780 GYD196780 HHZ196780 HRV196780 IBR196780 ILN196780 IVJ196780 JFF196780 JPB196780 JYX196780 KIT196780 KSP196780 LCL196780 LMH196780 LWD196780 MFZ196780 MPV196780 MZR196780 NJN196780 NTJ196780 ODF196780 ONB196780 OWX196780 PGT196780 PQP196780 QAL196780 QKH196780 QUD196780 RDZ196780 RNV196780 RXR196780 SHN196780 SRJ196780 TBF196780 TLB196780 TUX196780 UET196780 UOP196780 UYL196780 VIH196780 VSD196780 WBZ196780 WLV196780 WVR196780 J262316 JF262316 TB262316 ACX262316 AMT262316 AWP262316 BGL262316 BQH262316 CAD262316 CJZ262316 CTV262316 DDR262316 DNN262316 DXJ262316 EHF262316 ERB262316 FAX262316 FKT262316 FUP262316 GEL262316 GOH262316 GYD262316 HHZ262316 HRV262316 IBR262316 ILN262316 IVJ262316 JFF262316 JPB262316 JYX262316 KIT262316 KSP262316 LCL262316 LMH262316 LWD262316 MFZ262316 MPV262316 MZR262316 NJN262316 NTJ262316 ODF262316 ONB262316 OWX262316 PGT262316 PQP262316 QAL262316 QKH262316 QUD262316 RDZ262316 RNV262316 RXR262316 SHN262316 SRJ262316 TBF262316 TLB262316 TUX262316 UET262316 UOP262316 UYL262316 VIH262316 VSD262316 WBZ262316 WLV262316 WVR262316 J327852 JF327852 TB327852 ACX327852 AMT327852 AWP327852 BGL327852 BQH327852 CAD327852 CJZ327852 CTV327852 DDR327852 DNN327852 DXJ327852 EHF327852 ERB327852 FAX327852 FKT327852 FUP327852 GEL327852 GOH327852 GYD327852 HHZ327852 HRV327852 IBR327852 ILN327852 IVJ327852 JFF327852 JPB327852 JYX327852 KIT327852 KSP327852 LCL327852 LMH327852 LWD327852 MFZ327852 MPV327852 MZR327852 NJN327852 NTJ327852 ODF327852 ONB327852 OWX327852 PGT327852 PQP327852 QAL327852 QKH327852 QUD327852 RDZ327852 RNV327852 RXR327852 SHN327852 SRJ327852 TBF327852 TLB327852 TUX327852 UET327852 UOP327852 UYL327852 VIH327852 VSD327852 WBZ327852 WLV327852 WVR327852 J393388 JF393388 TB393388 ACX393388 AMT393388 AWP393388 BGL393388 BQH393388 CAD393388 CJZ393388 CTV393388 DDR393388 DNN393388 DXJ393388 EHF393388 ERB393388 FAX393388 FKT393388 FUP393388 GEL393388 GOH393388 GYD393388 HHZ393388 HRV393388 IBR393388 ILN393388 IVJ393388 JFF393388 JPB393388 JYX393388 KIT393388 KSP393388 LCL393388 LMH393388 LWD393388 MFZ393388 MPV393388 MZR393388 NJN393388 NTJ393388 ODF393388 ONB393388 OWX393388 PGT393388 PQP393388 QAL393388 QKH393388 QUD393388 RDZ393388 RNV393388 RXR393388 SHN393388 SRJ393388 TBF393388 TLB393388 TUX393388 UET393388 UOP393388 UYL393388 VIH393388 VSD393388 WBZ393388 WLV393388 WVR393388 J458924 JF458924 TB458924 ACX458924 AMT458924 AWP458924 BGL458924 BQH458924 CAD458924 CJZ458924 CTV458924 DDR458924 DNN458924 DXJ458924 EHF458924 ERB458924 FAX458924 FKT458924 FUP458924 GEL458924 GOH458924 GYD458924 HHZ458924 HRV458924 IBR458924 ILN458924 IVJ458924 JFF458924 JPB458924 JYX458924 KIT458924 KSP458924 LCL458924 LMH458924 LWD458924 MFZ458924 MPV458924 MZR458924 NJN458924 NTJ458924 ODF458924 ONB458924 OWX458924 PGT458924 PQP458924 QAL458924 QKH458924 QUD458924 RDZ458924 RNV458924 RXR458924 SHN458924 SRJ458924 TBF458924 TLB458924 TUX458924 UET458924 UOP458924 UYL458924 VIH458924 VSD458924 WBZ458924 WLV458924 WVR458924 J524460 JF524460 TB524460 ACX524460 AMT524460 AWP524460 BGL524460 BQH524460 CAD524460 CJZ524460 CTV524460 DDR524460 DNN524460 DXJ524460 EHF524460 ERB524460 FAX524460 FKT524460 FUP524460 GEL524460 GOH524460 GYD524460 HHZ524460 HRV524460 IBR524460 ILN524460 IVJ524460 JFF524460 JPB524460 JYX524460 KIT524460 KSP524460 LCL524460 LMH524460 LWD524460 MFZ524460 MPV524460 MZR524460 NJN524460 NTJ524460 ODF524460 ONB524460 OWX524460 PGT524460 PQP524460 QAL524460 QKH524460 QUD524460 RDZ524460 RNV524460 RXR524460 SHN524460 SRJ524460 TBF524460 TLB524460 TUX524460 UET524460 UOP524460 UYL524460 VIH524460 VSD524460 WBZ524460 WLV524460 WVR524460 J589996 JF589996 TB589996 ACX589996 AMT589996 AWP589996 BGL589996 BQH589996 CAD589996 CJZ589996 CTV589996 DDR589996 DNN589996 DXJ589996 EHF589996 ERB589996 FAX589996 FKT589996 FUP589996 GEL589996 GOH589996 GYD589996 HHZ589996 HRV589996 IBR589996 ILN589996 IVJ589996 JFF589996 JPB589996 JYX589996 KIT589996 KSP589996 LCL589996 LMH589996 LWD589996 MFZ589996 MPV589996 MZR589996 NJN589996 NTJ589996 ODF589996 ONB589996 OWX589996 PGT589996 PQP589996 QAL589996 QKH589996 QUD589996 RDZ589996 RNV589996 RXR589996 SHN589996 SRJ589996 TBF589996 TLB589996 TUX589996 UET589996 UOP589996 UYL589996 VIH589996 VSD589996 WBZ589996 WLV589996 WVR589996 J655532 JF655532 TB655532 ACX655532 AMT655532 AWP655532 BGL655532 BQH655532 CAD655532 CJZ655532 CTV655532 DDR655532 DNN655532 DXJ655532 EHF655532 ERB655532 FAX655532 FKT655532 FUP655532 GEL655532 GOH655532 GYD655532 HHZ655532 HRV655532 IBR655532 ILN655532 IVJ655532 JFF655532 JPB655532 JYX655532 KIT655532 KSP655532 LCL655532 LMH655532 LWD655532 MFZ655532 MPV655532 MZR655532 NJN655532 NTJ655532 ODF655532 ONB655532 OWX655532 PGT655532 PQP655532 QAL655532 QKH655532 QUD655532 RDZ655532 RNV655532 RXR655532 SHN655532 SRJ655532 TBF655532 TLB655532 TUX655532 UET655532 UOP655532 UYL655532 VIH655532 VSD655532 WBZ655532 WLV655532 WVR655532 J721068 JF721068 TB721068 ACX721068 AMT721068 AWP721068 BGL721068 BQH721068 CAD721068 CJZ721068 CTV721068 DDR721068 DNN721068 DXJ721068 EHF721068 ERB721068 FAX721068 FKT721068 FUP721068 GEL721068 GOH721068 GYD721068 HHZ721068 HRV721068 IBR721068 ILN721068 IVJ721068 JFF721068 JPB721068 JYX721068 KIT721068 KSP721068 LCL721068 LMH721068 LWD721068 MFZ721068 MPV721068 MZR721068 NJN721068 NTJ721068 ODF721068 ONB721068 OWX721068 PGT721068 PQP721068 QAL721068 QKH721068 QUD721068 RDZ721068 RNV721068 RXR721068 SHN721068 SRJ721068 TBF721068 TLB721068 TUX721068 UET721068 UOP721068 UYL721068 VIH721068 VSD721068 WBZ721068 WLV721068 WVR721068 J786604 JF786604 TB786604 ACX786604 AMT786604 AWP786604 BGL786604 BQH786604 CAD786604 CJZ786604 CTV786604 DDR786604 DNN786604 DXJ786604 EHF786604 ERB786604 FAX786604 FKT786604 FUP786604 GEL786604 GOH786604 GYD786604 HHZ786604 HRV786604 IBR786604 ILN786604 IVJ786604 JFF786604 JPB786604 JYX786604 KIT786604 KSP786604 LCL786604 LMH786604 LWD786604 MFZ786604 MPV786604 MZR786604 NJN786604 NTJ786604 ODF786604 ONB786604 OWX786604 PGT786604 PQP786604 QAL786604 QKH786604 QUD786604 RDZ786604 RNV786604 RXR786604 SHN786604 SRJ786604 TBF786604 TLB786604 TUX786604 UET786604 UOP786604 UYL786604 VIH786604 VSD786604 WBZ786604 WLV786604 WVR786604 J852140 JF852140 TB852140 ACX852140 AMT852140 AWP852140 BGL852140 BQH852140 CAD852140 CJZ852140 CTV852140 DDR852140 DNN852140 DXJ852140 EHF852140 ERB852140 FAX852140 FKT852140 FUP852140 GEL852140 GOH852140 GYD852140 HHZ852140 HRV852140 IBR852140 ILN852140 IVJ852140 JFF852140 JPB852140 JYX852140 KIT852140 KSP852140 LCL852140 LMH852140 LWD852140 MFZ852140 MPV852140 MZR852140 NJN852140 NTJ852140 ODF852140 ONB852140 OWX852140 PGT852140 PQP852140 QAL852140 QKH852140 QUD852140 RDZ852140 RNV852140 RXR852140 SHN852140 SRJ852140 TBF852140 TLB852140 TUX852140 UET852140 UOP852140 UYL852140 VIH852140 VSD852140 WBZ852140 WLV852140 WVR852140 J917676 JF917676 TB917676 ACX917676 AMT917676 AWP917676 BGL917676 BQH917676 CAD917676 CJZ917676 CTV917676 DDR917676 DNN917676 DXJ917676 EHF917676 ERB917676 FAX917676 FKT917676 FUP917676 GEL917676 GOH917676 GYD917676 HHZ917676 HRV917676 IBR917676 ILN917676 IVJ917676 JFF917676 JPB917676 JYX917676 KIT917676 KSP917676 LCL917676 LMH917676 LWD917676 MFZ917676 MPV917676 MZR917676 NJN917676 NTJ917676 ODF917676 ONB917676 OWX917676 PGT917676 PQP917676 QAL917676 QKH917676 QUD917676 RDZ917676 RNV917676 RXR917676 SHN917676 SRJ917676 TBF917676 TLB917676 TUX917676 UET917676 UOP917676 UYL917676 VIH917676 VSD917676 WBZ917676 WLV917676 WVR917676 J983212 JF983212 TB983212 ACX983212 AMT983212 AWP983212 BGL983212 BQH983212 CAD983212 CJZ983212 CTV983212 DDR983212 DNN983212 DXJ983212 EHF983212 ERB983212 FAX983212 FKT983212 FUP983212 GEL983212 GOH983212 GYD983212 HHZ983212 HRV983212 IBR983212 ILN983212 IVJ983212 JFF983212 JPB983212 JYX983212 KIT983212 KSP983212 LCL983212 LMH983212 LWD983212 MFZ983212 MPV983212 MZR983212 NJN983212 NTJ983212 ODF983212 ONB983212 OWX983212 PGT983212 PQP983212 QAL983212 QKH983212 QUD983212 RDZ983212 RNV983212 RXR983212 SHN983212 SRJ983212 TBF983212 TLB983212 TUX983212 UET983212 UOP983212 UYL983212 VIH983212 VSD983212 WBZ983212 WLV983212 WVR983212 G218:W218 JC218:JS218 SY218:TO218 ACU218:ADK218 AMQ218:ANG218 AWM218:AXC218 BGI218:BGY218 BQE218:BQU218 CAA218:CAQ218 CJW218:CKM218 CTS218:CUI218 DDO218:DEE218 DNK218:DOA218 DXG218:DXW218 EHC218:EHS218 EQY218:ERO218 FAU218:FBK218 FKQ218:FLG218 FUM218:FVC218 GEI218:GEY218 GOE218:GOU218 GYA218:GYQ218 HHW218:HIM218 HRS218:HSI218 IBO218:ICE218 ILK218:IMA218 IVG218:IVW218 JFC218:JFS218 JOY218:JPO218 JYU218:JZK218 KIQ218:KJG218 KSM218:KTC218 LCI218:LCY218 LME218:LMU218 LWA218:LWQ218 MFW218:MGM218 MPS218:MQI218 MZO218:NAE218 NJK218:NKA218 NTG218:NTW218 ODC218:ODS218 OMY218:ONO218 OWU218:OXK218 PGQ218:PHG218 PQM218:PRC218 QAI218:QAY218 QKE218:QKU218 QUA218:QUQ218 RDW218:REM218 RNS218:ROI218 RXO218:RYE218 SHK218:SIA218 SRG218:SRW218 TBC218:TBS218 TKY218:TLO218 TUU218:TVK218 UEQ218:UFG218 UOM218:UPC218 UYI218:UYY218 VIE218:VIU218 VSA218:VSQ218 WBW218:WCM218 WLS218:WMI218 WVO218:WWE218 G65754:W65754 JC65754:JS65754 SY65754:TO65754 ACU65754:ADK65754 AMQ65754:ANG65754 AWM65754:AXC65754 BGI65754:BGY65754 BQE65754:BQU65754 CAA65754:CAQ65754 CJW65754:CKM65754 CTS65754:CUI65754 DDO65754:DEE65754 DNK65754:DOA65754 DXG65754:DXW65754 EHC65754:EHS65754 EQY65754:ERO65754 FAU65754:FBK65754 FKQ65754:FLG65754 FUM65754:FVC65754 GEI65754:GEY65754 GOE65754:GOU65754 GYA65754:GYQ65754 HHW65754:HIM65754 HRS65754:HSI65754 IBO65754:ICE65754 ILK65754:IMA65754 IVG65754:IVW65754 JFC65754:JFS65754 JOY65754:JPO65754 JYU65754:JZK65754 KIQ65754:KJG65754 KSM65754:KTC65754 LCI65754:LCY65754 LME65754:LMU65754 LWA65754:LWQ65754 MFW65754:MGM65754 MPS65754:MQI65754 MZO65754:NAE65754 NJK65754:NKA65754 NTG65754:NTW65754 ODC65754:ODS65754 OMY65754:ONO65754 OWU65754:OXK65754 PGQ65754:PHG65754 PQM65754:PRC65754 QAI65754:QAY65754 QKE65754:QKU65754 QUA65754:QUQ65754 RDW65754:REM65754 RNS65754:ROI65754 RXO65754:RYE65754 SHK65754:SIA65754 SRG65754:SRW65754 TBC65754:TBS65754 TKY65754:TLO65754 TUU65754:TVK65754 UEQ65754:UFG65754 UOM65754:UPC65754 UYI65754:UYY65754 VIE65754:VIU65754 VSA65754:VSQ65754 WBW65754:WCM65754 WLS65754:WMI65754 WVO65754:WWE65754 G131290:W131290 JC131290:JS131290 SY131290:TO131290 ACU131290:ADK131290 AMQ131290:ANG131290 AWM131290:AXC131290 BGI131290:BGY131290 BQE131290:BQU131290 CAA131290:CAQ131290 CJW131290:CKM131290 CTS131290:CUI131290 DDO131290:DEE131290 DNK131290:DOA131290 DXG131290:DXW131290 EHC131290:EHS131290 EQY131290:ERO131290 FAU131290:FBK131290 FKQ131290:FLG131290 FUM131290:FVC131290 GEI131290:GEY131290 GOE131290:GOU131290 GYA131290:GYQ131290 HHW131290:HIM131290 HRS131290:HSI131290 IBO131290:ICE131290 ILK131290:IMA131290 IVG131290:IVW131290 JFC131290:JFS131290 JOY131290:JPO131290 JYU131290:JZK131290 KIQ131290:KJG131290 KSM131290:KTC131290 LCI131290:LCY131290 LME131290:LMU131290 LWA131290:LWQ131290 MFW131290:MGM131290 MPS131290:MQI131290 MZO131290:NAE131290 NJK131290:NKA131290 NTG131290:NTW131290 ODC131290:ODS131290 OMY131290:ONO131290 OWU131290:OXK131290 PGQ131290:PHG131290 PQM131290:PRC131290 QAI131290:QAY131290 QKE131290:QKU131290 QUA131290:QUQ131290 RDW131290:REM131290 RNS131290:ROI131290 RXO131290:RYE131290 SHK131290:SIA131290 SRG131290:SRW131290 TBC131290:TBS131290 TKY131290:TLO131290 TUU131290:TVK131290 UEQ131290:UFG131290 UOM131290:UPC131290 UYI131290:UYY131290 VIE131290:VIU131290 VSA131290:VSQ131290 WBW131290:WCM131290 WLS131290:WMI131290 WVO131290:WWE131290 G196826:W196826 JC196826:JS196826 SY196826:TO196826 ACU196826:ADK196826 AMQ196826:ANG196826 AWM196826:AXC196826 BGI196826:BGY196826 BQE196826:BQU196826 CAA196826:CAQ196826 CJW196826:CKM196826 CTS196826:CUI196826 DDO196826:DEE196826 DNK196826:DOA196826 DXG196826:DXW196826 EHC196826:EHS196826 EQY196826:ERO196826 FAU196826:FBK196826 FKQ196826:FLG196826 FUM196826:FVC196826 GEI196826:GEY196826 GOE196826:GOU196826 GYA196826:GYQ196826 HHW196826:HIM196826 HRS196826:HSI196826 IBO196826:ICE196826 ILK196826:IMA196826 IVG196826:IVW196826 JFC196826:JFS196826 JOY196826:JPO196826 JYU196826:JZK196826 KIQ196826:KJG196826 KSM196826:KTC196826 LCI196826:LCY196826 LME196826:LMU196826 LWA196826:LWQ196826 MFW196826:MGM196826 MPS196826:MQI196826 MZO196826:NAE196826 NJK196826:NKA196826 NTG196826:NTW196826 ODC196826:ODS196826 OMY196826:ONO196826 OWU196826:OXK196826 PGQ196826:PHG196826 PQM196826:PRC196826 QAI196826:QAY196826 QKE196826:QKU196826 QUA196826:QUQ196826 RDW196826:REM196826 RNS196826:ROI196826 RXO196826:RYE196826 SHK196826:SIA196826 SRG196826:SRW196826 TBC196826:TBS196826 TKY196826:TLO196826 TUU196826:TVK196826 UEQ196826:UFG196826 UOM196826:UPC196826 UYI196826:UYY196826 VIE196826:VIU196826 VSA196826:VSQ196826 WBW196826:WCM196826 WLS196826:WMI196826 WVO196826:WWE196826 G262362:W262362 JC262362:JS262362 SY262362:TO262362 ACU262362:ADK262362 AMQ262362:ANG262362 AWM262362:AXC262362 BGI262362:BGY262362 BQE262362:BQU262362 CAA262362:CAQ262362 CJW262362:CKM262362 CTS262362:CUI262362 DDO262362:DEE262362 DNK262362:DOA262362 DXG262362:DXW262362 EHC262362:EHS262362 EQY262362:ERO262362 FAU262362:FBK262362 FKQ262362:FLG262362 FUM262362:FVC262362 GEI262362:GEY262362 GOE262362:GOU262362 GYA262362:GYQ262362 HHW262362:HIM262362 HRS262362:HSI262362 IBO262362:ICE262362 ILK262362:IMA262362 IVG262362:IVW262362 JFC262362:JFS262362 JOY262362:JPO262362 JYU262362:JZK262362 KIQ262362:KJG262362 KSM262362:KTC262362 LCI262362:LCY262362 LME262362:LMU262362 LWA262362:LWQ262362 MFW262362:MGM262362 MPS262362:MQI262362 MZO262362:NAE262362 NJK262362:NKA262362 NTG262362:NTW262362 ODC262362:ODS262362 OMY262362:ONO262362 OWU262362:OXK262362 PGQ262362:PHG262362 PQM262362:PRC262362 QAI262362:QAY262362 QKE262362:QKU262362 QUA262362:QUQ262362 RDW262362:REM262362 RNS262362:ROI262362 RXO262362:RYE262362 SHK262362:SIA262362 SRG262362:SRW262362 TBC262362:TBS262362 TKY262362:TLO262362 TUU262362:TVK262362 UEQ262362:UFG262362 UOM262362:UPC262362 UYI262362:UYY262362 VIE262362:VIU262362 VSA262362:VSQ262362 WBW262362:WCM262362 WLS262362:WMI262362 WVO262362:WWE262362 G327898:W327898 JC327898:JS327898 SY327898:TO327898 ACU327898:ADK327898 AMQ327898:ANG327898 AWM327898:AXC327898 BGI327898:BGY327898 BQE327898:BQU327898 CAA327898:CAQ327898 CJW327898:CKM327898 CTS327898:CUI327898 DDO327898:DEE327898 DNK327898:DOA327898 DXG327898:DXW327898 EHC327898:EHS327898 EQY327898:ERO327898 FAU327898:FBK327898 FKQ327898:FLG327898 FUM327898:FVC327898 GEI327898:GEY327898 GOE327898:GOU327898 GYA327898:GYQ327898 HHW327898:HIM327898 HRS327898:HSI327898 IBO327898:ICE327898 ILK327898:IMA327898 IVG327898:IVW327898 JFC327898:JFS327898 JOY327898:JPO327898 JYU327898:JZK327898 KIQ327898:KJG327898 KSM327898:KTC327898 LCI327898:LCY327898 LME327898:LMU327898 LWA327898:LWQ327898 MFW327898:MGM327898 MPS327898:MQI327898 MZO327898:NAE327898 NJK327898:NKA327898 NTG327898:NTW327898 ODC327898:ODS327898 OMY327898:ONO327898 OWU327898:OXK327898 PGQ327898:PHG327898 PQM327898:PRC327898 QAI327898:QAY327898 QKE327898:QKU327898 QUA327898:QUQ327898 RDW327898:REM327898 RNS327898:ROI327898 RXO327898:RYE327898 SHK327898:SIA327898 SRG327898:SRW327898 TBC327898:TBS327898 TKY327898:TLO327898 TUU327898:TVK327898 UEQ327898:UFG327898 UOM327898:UPC327898 UYI327898:UYY327898 VIE327898:VIU327898 VSA327898:VSQ327898 WBW327898:WCM327898 WLS327898:WMI327898 WVO327898:WWE327898 G393434:W393434 JC393434:JS393434 SY393434:TO393434 ACU393434:ADK393434 AMQ393434:ANG393434 AWM393434:AXC393434 BGI393434:BGY393434 BQE393434:BQU393434 CAA393434:CAQ393434 CJW393434:CKM393434 CTS393434:CUI393434 DDO393434:DEE393434 DNK393434:DOA393434 DXG393434:DXW393434 EHC393434:EHS393434 EQY393434:ERO393434 FAU393434:FBK393434 FKQ393434:FLG393434 FUM393434:FVC393434 GEI393434:GEY393434 GOE393434:GOU393434 GYA393434:GYQ393434 HHW393434:HIM393434 HRS393434:HSI393434 IBO393434:ICE393434 ILK393434:IMA393434 IVG393434:IVW393434 JFC393434:JFS393434 JOY393434:JPO393434 JYU393434:JZK393434 KIQ393434:KJG393434 KSM393434:KTC393434 LCI393434:LCY393434 LME393434:LMU393434 LWA393434:LWQ393434 MFW393434:MGM393434 MPS393434:MQI393434 MZO393434:NAE393434 NJK393434:NKA393434 NTG393434:NTW393434 ODC393434:ODS393434 OMY393434:ONO393434 OWU393434:OXK393434 PGQ393434:PHG393434 PQM393434:PRC393434 QAI393434:QAY393434 QKE393434:QKU393434 QUA393434:QUQ393434 RDW393434:REM393434 RNS393434:ROI393434 RXO393434:RYE393434 SHK393434:SIA393434 SRG393434:SRW393434 TBC393434:TBS393434 TKY393434:TLO393434 TUU393434:TVK393434 UEQ393434:UFG393434 UOM393434:UPC393434 UYI393434:UYY393434 VIE393434:VIU393434 VSA393434:VSQ393434 WBW393434:WCM393434 WLS393434:WMI393434 WVO393434:WWE393434 G458970:W458970 JC458970:JS458970 SY458970:TO458970 ACU458970:ADK458970 AMQ458970:ANG458970 AWM458970:AXC458970 BGI458970:BGY458970 BQE458970:BQU458970 CAA458970:CAQ458970 CJW458970:CKM458970 CTS458970:CUI458970 DDO458970:DEE458970 DNK458970:DOA458970 DXG458970:DXW458970 EHC458970:EHS458970 EQY458970:ERO458970 FAU458970:FBK458970 FKQ458970:FLG458970 FUM458970:FVC458970 GEI458970:GEY458970 GOE458970:GOU458970 GYA458970:GYQ458970 HHW458970:HIM458970 HRS458970:HSI458970 IBO458970:ICE458970 ILK458970:IMA458970 IVG458970:IVW458970 JFC458970:JFS458970 JOY458970:JPO458970 JYU458970:JZK458970 KIQ458970:KJG458970 KSM458970:KTC458970 LCI458970:LCY458970 LME458970:LMU458970 LWA458970:LWQ458970 MFW458970:MGM458970 MPS458970:MQI458970 MZO458970:NAE458970 NJK458970:NKA458970 NTG458970:NTW458970 ODC458970:ODS458970 OMY458970:ONO458970 OWU458970:OXK458970 PGQ458970:PHG458970 PQM458970:PRC458970 QAI458970:QAY458970 QKE458970:QKU458970 QUA458970:QUQ458970 RDW458970:REM458970 RNS458970:ROI458970 RXO458970:RYE458970 SHK458970:SIA458970 SRG458970:SRW458970 TBC458970:TBS458970 TKY458970:TLO458970 TUU458970:TVK458970 UEQ458970:UFG458970 UOM458970:UPC458970 UYI458970:UYY458970 VIE458970:VIU458970 VSA458970:VSQ458970 WBW458970:WCM458970 WLS458970:WMI458970 WVO458970:WWE458970 G524506:W524506 JC524506:JS524506 SY524506:TO524506 ACU524506:ADK524506 AMQ524506:ANG524506 AWM524506:AXC524506 BGI524506:BGY524506 BQE524506:BQU524506 CAA524506:CAQ524506 CJW524506:CKM524506 CTS524506:CUI524506 DDO524506:DEE524506 DNK524506:DOA524506 DXG524506:DXW524506 EHC524506:EHS524506 EQY524506:ERO524506 FAU524506:FBK524506 FKQ524506:FLG524506 FUM524506:FVC524506 GEI524506:GEY524506 GOE524506:GOU524506 GYA524506:GYQ524506 HHW524506:HIM524506 HRS524506:HSI524506 IBO524506:ICE524506 ILK524506:IMA524506 IVG524506:IVW524506 JFC524506:JFS524506 JOY524506:JPO524506 JYU524506:JZK524506 KIQ524506:KJG524506 KSM524506:KTC524506 LCI524506:LCY524506 LME524506:LMU524506 LWA524506:LWQ524506 MFW524506:MGM524506 MPS524506:MQI524506 MZO524506:NAE524506 NJK524506:NKA524506 NTG524506:NTW524506 ODC524506:ODS524506 OMY524506:ONO524506 OWU524506:OXK524506 PGQ524506:PHG524506 PQM524506:PRC524506 QAI524506:QAY524506 QKE524506:QKU524506 QUA524506:QUQ524506 RDW524506:REM524506 RNS524506:ROI524506 RXO524506:RYE524506 SHK524506:SIA524506 SRG524506:SRW524506 TBC524506:TBS524506 TKY524506:TLO524506 TUU524506:TVK524506 UEQ524506:UFG524506 UOM524506:UPC524506 UYI524506:UYY524506 VIE524506:VIU524506 VSA524506:VSQ524506 WBW524506:WCM524506 WLS524506:WMI524506 WVO524506:WWE524506 G590042:W590042 JC590042:JS590042 SY590042:TO590042 ACU590042:ADK590042 AMQ590042:ANG590042 AWM590042:AXC590042 BGI590042:BGY590042 BQE590042:BQU590042 CAA590042:CAQ590042 CJW590042:CKM590042 CTS590042:CUI590042 DDO590042:DEE590042 DNK590042:DOA590042 DXG590042:DXW590042 EHC590042:EHS590042 EQY590042:ERO590042 FAU590042:FBK590042 FKQ590042:FLG590042 FUM590042:FVC590042 GEI590042:GEY590042 GOE590042:GOU590042 GYA590042:GYQ590042 HHW590042:HIM590042 HRS590042:HSI590042 IBO590042:ICE590042 ILK590042:IMA590042 IVG590042:IVW590042 JFC590042:JFS590042 JOY590042:JPO590042 JYU590042:JZK590042 KIQ590042:KJG590042 KSM590042:KTC590042 LCI590042:LCY590042 LME590042:LMU590042 LWA590042:LWQ590042 MFW590042:MGM590042 MPS590042:MQI590042 MZO590042:NAE590042 NJK590042:NKA590042 NTG590042:NTW590042 ODC590042:ODS590042 OMY590042:ONO590042 OWU590042:OXK590042 PGQ590042:PHG590042 PQM590042:PRC590042 QAI590042:QAY590042 QKE590042:QKU590042 QUA590042:QUQ590042 RDW590042:REM590042 RNS590042:ROI590042 RXO590042:RYE590042 SHK590042:SIA590042 SRG590042:SRW590042 TBC590042:TBS590042 TKY590042:TLO590042 TUU590042:TVK590042 UEQ590042:UFG590042 UOM590042:UPC590042 UYI590042:UYY590042 VIE590042:VIU590042 VSA590042:VSQ590042 WBW590042:WCM590042 WLS590042:WMI590042 WVO590042:WWE590042 G655578:W655578 JC655578:JS655578 SY655578:TO655578 ACU655578:ADK655578 AMQ655578:ANG655578 AWM655578:AXC655578 BGI655578:BGY655578 BQE655578:BQU655578 CAA655578:CAQ655578 CJW655578:CKM655578 CTS655578:CUI655578 DDO655578:DEE655578 DNK655578:DOA655578 DXG655578:DXW655578 EHC655578:EHS655578 EQY655578:ERO655578 FAU655578:FBK655578 FKQ655578:FLG655578 FUM655578:FVC655578 GEI655578:GEY655578 GOE655578:GOU655578 GYA655578:GYQ655578 HHW655578:HIM655578 HRS655578:HSI655578 IBO655578:ICE655578 ILK655578:IMA655578 IVG655578:IVW655578 JFC655578:JFS655578 JOY655578:JPO655578 JYU655578:JZK655578 KIQ655578:KJG655578 KSM655578:KTC655578 LCI655578:LCY655578 LME655578:LMU655578 LWA655578:LWQ655578 MFW655578:MGM655578 MPS655578:MQI655578 MZO655578:NAE655578 NJK655578:NKA655578 NTG655578:NTW655578 ODC655578:ODS655578 OMY655578:ONO655578 OWU655578:OXK655578 PGQ655578:PHG655578 PQM655578:PRC655578 QAI655578:QAY655578 QKE655578:QKU655578 QUA655578:QUQ655578 RDW655578:REM655578 RNS655578:ROI655578 RXO655578:RYE655578 SHK655578:SIA655578 SRG655578:SRW655578 TBC655578:TBS655578 TKY655578:TLO655578 TUU655578:TVK655578 UEQ655578:UFG655578 UOM655578:UPC655578 UYI655578:UYY655578 VIE655578:VIU655578 VSA655578:VSQ655578 WBW655578:WCM655578 WLS655578:WMI655578 WVO655578:WWE655578 G721114:W721114 JC721114:JS721114 SY721114:TO721114 ACU721114:ADK721114 AMQ721114:ANG721114 AWM721114:AXC721114 BGI721114:BGY721114 BQE721114:BQU721114 CAA721114:CAQ721114 CJW721114:CKM721114 CTS721114:CUI721114 DDO721114:DEE721114 DNK721114:DOA721114 DXG721114:DXW721114 EHC721114:EHS721114 EQY721114:ERO721114 FAU721114:FBK721114 FKQ721114:FLG721114 FUM721114:FVC721114 GEI721114:GEY721114 GOE721114:GOU721114 GYA721114:GYQ721114 HHW721114:HIM721114 HRS721114:HSI721114 IBO721114:ICE721114 ILK721114:IMA721114 IVG721114:IVW721114 JFC721114:JFS721114 JOY721114:JPO721114 JYU721114:JZK721114 KIQ721114:KJG721114 KSM721114:KTC721114 LCI721114:LCY721114 LME721114:LMU721114 LWA721114:LWQ721114 MFW721114:MGM721114 MPS721114:MQI721114 MZO721114:NAE721114 NJK721114:NKA721114 NTG721114:NTW721114 ODC721114:ODS721114 OMY721114:ONO721114 OWU721114:OXK721114 PGQ721114:PHG721114 PQM721114:PRC721114 QAI721114:QAY721114 QKE721114:QKU721114 QUA721114:QUQ721114 RDW721114:REM721114 RNS721114:ROI721114 RXO721114:RYE721114 SHK721114:SIA721114 SRG721114:SRW721114 TBC721114:TBS721114 TKY721114:TLO721114 TUU721114:TVK721114 UEQ721114:UFG721114 UOM721114:UPC721114 UYI721114:UYY721114 VIE721114:VIU721114 VSA721114:VSQ721114 WBW721114:WCM721114 WLS721114:WMI721114 WVO721114:WWE721114 G786650:W786650 JC786650:JS786650 SY786650:TO786650 ACU786650:ADK786650 AMQ786650:ANG786650 AWM786650:AXC786650 BGI786650:BGY786650 BQE786650:BQU786650 CAA786650:CAQ786650 CJW786650:CKM786650 CTS786650:CUI786650 DDO786650:DEE786650 DNK786650:DOA786650 DXG786650:DXW786650 EHC786650:EHS786650 EQY786650:ERO786650 FAU786650:FBK786650 FKQ786650:FLG786650 FUM786650:FVC786650 GEI786650:GEY786650 GOE786650:GOU786650 GYA786650:GYQ786650 HHW786650:HIM786650 HRS786650:HSI786650 IBO786650:ICE786650 ILK786650:IMA786650 IVG786650:IVW786650 JFC786650:JFS786650 JOY786650:JPO786650 JYU786650:JZK786650 KIQ786650:KJG786650 KSM786650:KTC786650 LCI786650:LCY786650 LME786650:LMU786650 LWA786650:LWQ786650 MFW786650:MGM786650 MPS786650:MQI786650 MZO786650:NAE786650 NJK786650:NKA786650 NTG786650:NTW786650 ODC786650:ODS786650 OMY786650:ONO786650 OWU786650:OXK786650 PGQ786650:PHG786650 PQM786650:PRC786650 QAI786650:QAY786650 QKE786650:QKU786650 QUA786650:QUQ786650 RDW786650:REM786650 RNS786650:ROI786650 RXO786650:RYE786650 SHK786650:SIA786650 SRG786650:SRW786650 TBC786650:TBS786650 TKY786650:TLO786650 TUU786650:TVK786650 UEQ786650:UFG786650 UOM786650:UPC786650 UYI786650:UYY786650 VIE786650:VIU786650 VSA786650:VSQ786650 WBW786650:WCM786650 WLS786650:WMI786650 WVO786650:WWE786650 G852186:W852186 JC852186:JS852186 SY852186:TO852186 ACU852186:ADK852186 AMQ852186:ANG852186 AWM852186:AXC852186 BGI852186:BGY852186 BQE852186:BQU852186 CAA852186:CAQ852186 CJW852186:CKM852186 CTS852186:CUI852186 DDO852186:DEE852186 DNK852186:DOA852186 DXG852186:DXW852186 EHC852186:EHS852186 EQY852186:ERO852186 FAU852186:FBK852186 FKQ852186:FLG852186 FUM852186:FVC852186 GEI852186:GEY852186 GOE852186:GOU852186 GYA852186:GYQ852186 HHW852186:HIM852186 HRS852186:HSI852186 IBO852186:ICE852186 ILK852186:IMA852186 IVG852186:IVW852186 JFC852186:JFS852186 JOY852186:JPO852186 JYU852186:JZK852186 KIQ852186:KJG852186 KSM852186:KTC852186 LCI852186:LCY852186 LME852186:LMU852186 LWA852186:LWQ852186 MFW852186:MGM852186 MPS852186:MQI852186 MZO852186:NAE852186 NJK852186:NKA852186 NTG852186:NTW852186 ODC852186:ODS852186 OMY852186:ONO852186 OWU852186:OXK852186 PGQ852186:PHG852186 PQM852186:PRC852186 QAI852186:QAY852186 QKE852186:QKU852186 QUA852186:QUQ852186 RDW852186:REM852186 RNS852186:ROI852186 RXO852186:RYE852186 SHK852186:SIA852186 SRG852186:SRW852186 TBC852186:TBS852186 TKY852186:TLO852186 TUU852186:TVK852186 UEQ852186:UFG852186 UOM852186:UPC852186 UYI852186:UYY852186 VIE852186:VIU852186 VSA852186:VSQ852186 WBW852186:WCM852186 WLS852186:WMI852186 WVO852186:WWE852186 G917722:W917722 JC917722:JS917722 SY917722:TO917722 ACU917722:ADK917722 AMQ917722:ANG917722 AWM917722:AXC917722 BGI917722:BGY917722 BQE917722:BQU917722 CAA917722:CAQ917722 CJW917722:CKM917722 CTS917722:CUI917722 DDO917722:DEE917722 DNK917722:DOA917722 DXG917722:DXW917722 EHC917722:EHS917722 EQY917722:ERO917722 FAU917722:FBK917722 FKQ917722:FLG917722 FUM917722:FVC917722 GEI917722:GEY917722 GOE917722:GOU917722 GYA917722:GYQ917722 HHW917722:HIM917722 HRS917722:HSI917722 IBO917722:ICE917722 ILK917722:IMA917722 IVG917722:IVW917722 JFC917722:JFS917722 JOY917722:JPO917722 JYU917722:JZK917722 KIQ917722:KJG917722 KSM917722:KTC917722 LCI917722:LCY917722 LME917722:LMU917722 LWA917722:LWQ917722 MFW917722:MGM917722 MPS917722:MQI917722 MZO917722:NAE917722 NJK917722:NKA917722 NTG917722:NTW917722 ODC917722:ODS917722 OMY917722:ONO917722 OWU917722:OXK917722 PGQ917722:PHG917722 PQM917722:PRC917722 QAI917722:QAY917722 QKE917722:QKU917722 QUA917722:QUQ917722 RDW917722:REM917722 RNS917722:ROI917722 RXO917722:RYE917722 SHK917722:SIA917722 SRG917722:SRW917722 TBC917722:TBS917722 TKY917722:TLO917722 TUU917722:TVK917722 UEQ917722:UFG917722 UOM917722:UPC917722 UYI917722:UYY917722 VIE917722:VIU917722 VSA917722:VSQ917722 WBW917722:WCM917722 WLS917722:WMI917722 WVO917722:WWE917722 G983258:W983258 JC983258:JS983258 SY983258:TO983258 ACU983258:ADK983258 AMQ983258:ANG983258 AWM983258:AXC983258 BGI983258:BGY983258 BQE983258:BQU983258 CAA983258:CAQ983258 CJW983258:CKM983258 CTS983258:CUI983258 DDO983258:DEE983258 DNK983258:DOA983258 DXG983258:DXW983258 EHC983258:EHS983258 EQY983258:ERO983258 FAU983258:FBK983258 FKQ983258:FLG983258 FUM983258:FVC983258 GEI983258:GEY983258 GOE983258:GOU983258 GYA983258:GYQ983258 HHW983258:HIM983258 HRS983258:HSI983258 IBO983258:ICE983258 ILK983258:IMA983258 IVG983258:IVW983258 JFC983258:JFS983258 JOY983258:JPO983258 JYU983258:JZK983258 KIQ983258:KJG983258 KSM983258:KTC983258 LCI983258:LCY983258 LME983258:LMU983258 LWA983258:LWQ983258 MFW983258:MGM983258 MPS983258:MQI983258 MZO983258:NAE983258 NJK983258:NKA983258 NTG983258:NTW983258 ODC983258:ODS983258 OMY983258:ONO983258 OWU983258:OXK983258 PGQ983258:PHG983258 PQM983258:PRC983258 QAI983258:QAY983258 QKE983258:QKU983258 QUA983258:QUQ983258 RDW983258:REM983258 RNS983258:ROI983258 RXO983258:RYE983258 SHK983258:SIA983258 SRG983258:SRW983258 TBC983258:TBS983258 TKY983258:TLO983258 TUU983258:TVK983258 UEQ983258:UFG983258 UOM983258:UPC983258 UYI983258:UYY983258 VIE983258:VIU983258 VSA983258:VSQ983258 WBW983258:WCM983258 WLS983258:WMI983258 WVO983258:WWE983258 G227:W227 JC227:JS227 SY227:TO227 ACU227:ADK227 AMQ227:ANG227 AWM227:AXC227 BGI227:BGY227 BQE227:BQU227 CAA227:CAQ227 CJW227:CKM227 CTS227:CUI227 DDO227:DEE227 DNK227:DOA227 DXG227:DXW227 EHC227:EHS227 EQY227:ERO227 FAU227:FBK227 FKQ227:FLG227 FUM227:FVC227 GEI227:GEY227 GOE227:GOU227 GYA227:GYQ227 HHW227:HIM227 HRS227:HSI227 IBO227:ICE227 ILK227:IMA227 IVG227:IVW227 JFC227:JFS227 JOY227:JPO227 JYU227:JZK227 KIQ227:KJG227 KSM227:KTC227 LCI227:LCY227 LME227:LMU227 LWA227:LWQ227 MFW227:MGM227 MPS227:MQI227 MZO227:NAE227 NJK227:NKA227 NTG227:NTW227 ODC227:ODS227 OMY227:ONO227 OWU227:OXK227 PGQ227:PHG227 PQM227:PRC227 QAI227:QAY227 QKE227:QKU227 QUA227:QUQ227 RDW227:REM227 RNS227:ROI227 RXO227:RYE227 SHK227:SIA227 SRG227:SRW227 TBC227:TBS227 TKY227:TLO227 TUU227:TVK227 UEQ227:UFG227 UOM227:UPC227 UYI227:UYY227 VIE227:VIU227 VSA227:VSQ227 WBW227:WCM227 WLS227:WMI227 WVO227:WWE227 G65763:W65763 JC65763:JS65763 SY65763:TO65763 ACU65763:ADK65763 AMQ65763:ANG65763 AWM65763:AXC65763 BGI65763:BGY65763 BQE65763:BQU65763 CAA65763:CAQ65763 CJW65763:CKM65763 CTS65763:CUI65763 DDO65763:DEE65763 DNK65763:DOA65763 DXG65763:DXW65763 EHC65763:EHS65763 EQY65763:ERO65763 FAU65763:FBK65763 FKQ65763:FLG65763 FUM65763:FVC65763 GEI65763:GEY65763 GOE65763:GOU65763 GYA65763:GYQ65763 HHW65763:HIM65763 HRS65763:HSI65763 IBO65763:ICE65763 ILK65763:IMA65763 IVG65763:IVW65763 JFC65763:JFS65763 JOY65763:JPO65763 JYU65763:JZK65763 KIQ65763:KJG65763 KSM65763:KTC65763 LCI65763:LCY65763 LME65763:LMU65763 LWA65763:LWQ65763 MFW65763:MGM65763 MPS65763:MQI65763 MZO65763:NAE65763 NJK65763:NKA65763 NTG65763:NTW65763 ODC65763:ODS65763 OMY65763:ONO65763 OWU65763:OXK65763 PGQ65763:PHG65763 PQM65763:PRC65763 QAI65763:QAY65763 QKE65763:QKU65763 QUA65763:QUQ65763 RDW65763:REM65763 RNS65763:ROI65763 RXO65763:RYE65763 SHK65763:SIA65763 SRG65763:SRW65763 TBC65763:TBS65763 TKY65763:TLO65763 TUU65763:TVK65763 UEQ65763:UFG65763 UOM65763:UPC65763 UYI65763:UYY65763 VIE65763:VIU65763 VSA65763:VSQ65763 WBW65763:WCM65763 WLS65763:WMI65763 WVO65763:WWE65763 G131299:W131299 JC131299:JS131299 SY131299:TO131299 ACU131299:ADK131299 AMQ131299:ANG131299 AWM131299:AXC131299 BGI131299:BGY131299 BQE131299:BQU131299 CAA131299:CAQ131299 CJW131299:CKM131299 CTS131299:CUI131299 DDO131299:DEE131299 DNK131299:DOA131299 DXG131299:DXW131299 EHC131299:EHS131299 EQY131299:ERO131299 FAU131299:FBK131299 FKQ131299:FLG131299 FUM131299:FVC131299 GEI131299:GEY131299 GOE131299:GOU131299 GYA131299:GYQ131299 HHW131299:HIM131299 HRS131299:HSI131299 IBO131299:ICE131299 ILK131299:IMA131299 IVG131299:IVW131299 JFC131299:JFS131299 JOY131299:JPO131299 JYU131299:JZK131299 KIQ131299:KJG131299 KSM131299:KTC131299 LCI131299:LCY131299 LME131299:LMU131299 LWA131299:LWQ131299 MFW131299:MGM131299 MPS131299:MQI131299 MZO131299:NAE131299 NJK131299:NKA131299 NTG131299:NTW131299 ODC131299:ODS131299 OMY131299:ONO131299 OWU131299:OXK131299 PGQ131299:PHG131299 PQM131299:PRC131299 QAI131299:QAY131299 QKE131299:QKU131299 QUA131299:QUQ131299 RDW131299:REM131299 RNS131299:ROI131299 RXO131299:RYE131299 SHK131299:SIA131299 SRG131299:SRW131299 TBC131299:TBS131299 TKY131299:TLO131299 TUU131299:TVK131299 UEQ131299:UFG131299 UOM131299:UPC131299 UYI131299:UYY131299 VIE131299:VIU131299 VSA131299:VSQ131299 WBW131299:WCM131299 WLS131299:WMI131299 WVO131299:WWE131299 G196835:W196835 JC196835:JS196835 SY196835:TO196835 ACU196835:ADK196835 AMQ196835:ANG196835 AWM196835:AXC196835 BGI196835:BGY196835 BQE196835:BQU196835 CAA196835:CAQ196835 CJW196835:CKM196835 CTS196835:CUI196835 DDO196835:DEE196835 DNK196835:DOA196835 DXG196835:DXW196835 EHC196835:EHS196835 EQY196835:ERO196835 FAU196835:FBK196835 FKQ196835:FLG196835 FUM196835:FVC196835 GEI196835:GEY196835 GOE196835:GOU196835 GYA196835:GYQ196835 HHW196835:HIM196835 HRS196835:HSI196835 IBO196835:ICE196835 ILK196835:IMA196835 IVG196835:IVW196835 JFC196835:JFS196835 JOY196835:JPO196835 JYU196835:JZK196835 KIQ196835:KJG196835 KSM196835:KTC196835 LCI196835:LCY196835 LME196835:LMU196835 LWA196835:LWQ196835 MFW196835:MGM196835 MPS196835:MQI196835 MZO196835:NAE196835 NJK196835:NKA196835 NTG196835:NTW196835 ODC196835:ODS196835 OMY196835:ONO196835 OWU196835:OXK196835 PGQ196835:PHG196835 PQM196835:PRC196835 QAI196835:QAY196835 QKE196835:QKU196835 QUA196835:QUQ196835 RDW196835:REM196835 RNS196835:ROI196835 RXO196835:RYE196835 SHK196835:SIA196835 SRG196835:SRW196835 TBC196835:TBS196835 TKY196835:TLO196835 TUU196835:TVK196835 UEQ196835:UFG196835 UOM196835:UPC196835 UYI196835:UYY196835 VIE196835:VIU196835 VSA196835:VSQ196835 WBW196835:WCM196835 WLS196835:WMI196835 WVO196835:WWE196835 G262371:W262371 JC262371:JS262371 SY262371:TO262371 ACU262371:ADK262371 AMQ262371:ANG262371 AWM262371:AXC262371 BGI262371:BGY262371 BQE262371:BQU262371 CAA262371:CAQ262371 CJW262371:CKM262371 CTS262371:CUI262371 DDO262371:DEE262371 DNK262371:DOA262371 DXG262371:DXW262371 EHC262371:EHS262371 EQY262371:ERO262371 FAU262371:FBK262371 FKQ262371:FLG262371 FUM262371:FVC262371 GEI262371:GEY262371 GOE262371:GOU262371 GYA262371:GYQ262371 HHW262371:HIM262371 HRS262371:HSI262371 IBO262371:ICE262371 ILK262371:IMA262371 IVG262371:IVW262371 JFC262371:JFS262371 JOY262371:JPO262371 JYU262371:JZK262371 KIQ262371:KJG262371 KSM262371:KTC262371 LCI262371:LCY262371 LME262371:LMU262371 LWA262371:LWQ262371 MFW262371:MGM262371 MPS262371:MQI262371 MZO262371:NAE262371 NJK262371:NKA262371 NTG262371:NTW262371 ODC262371:ODS262371 OMY262371:ONO262371 OWU262371:OXK262371 PGQ262371:PHG262371 PQM262371:PRC262371 QAI262371:QAY262371 QKE262371:QKU262371 QUA262371:QUQ262371 RDW262371:REM262371 RNS262371:ROI262371 RXO262371:RYE262371 SHK262371:SIA262371 SRG262371:SRW262371 TBC262371:TBS262371 TKY262371:TLO262371 TUU262371:TVK262371 UEQ262371:UFG262371 UOM262371:UPC262371 UYI262371:UYY262371 VIE262371:VIU262371 VSA262371:VSQ262371 WBW262371:WCM262371 WLS262371:WMI262371 WVO262371:WWE262371 G327907:W327907 JC327907:JS327907 SY327907:TO327907 ACU327907:ADK327907 AMQ327907:ANG327907 AWM327907:AXC327907 BGI327907:BGY327907 BQE327907:BQU327907 CAA327907:CAQ327907 CJW327907:CKM327907 CTS327907:CUI327907 DDO327907:DEE327907 DNK327907:DOA327907 DXG327907:DXW327907 EHC327907:EHS327907 EQY327907:ERO327907 FAU327907:FBK327907 FKQ327907:FLG327907 FUM327907:FVC327907 GEI327907:GEY327907 GOE327907:GOU327907 GYA327907:GYQ327907 HHW327907:HIM327907 HRS327907:HSI327907 IBO327907:ICE327907 ILK327907:IMA327907 IVG327907:IVW327907 JFC327907:JFS327907 JOY327907:JPO327907 JYU327907:JZK327907 KIQ327907:KJG327907 KSM327907:KTC327907 LCI327907:LCY327907 LME327907:LMU327907 LWA327907:LWQ327907 MFW327907:MGM327907 MPS327907:MQI327907 MZO327907:NAE327907 NJK327907:NKA327907 NTG327907:NTW327907 ODC327907:ODS327907 OMY327907:ONO327907 OWU327907:OXK327907 PGQ327907:PHG327907 PQM327907:PRC327907 QAI327907:QAY327907 QKE327907:QKU327907 QUA327907:QUQ327907 RDW327907:REM327907 RNS327907:ROI327907 RXO327907:RYE327907 SHK327907:SIA327907 SRG327907:SRW327907 TBC327907:TBS327907 TKY327907:TLO327907 TUU327907:TVK327907 UEQ327907:UFG327907 UOM327907:UPC327907 UYI327907:UYY327907 VIE327907:VIU327907 VSA327907:VSQ327907 WBW327907:WCM327907 WLS327907:WMI327907 WVO327907:WWE327907 G393443:W393443 JC393443:JS393443 SY393443:TO393443 ACU393443:ADK393443 AMQ393443:ANG393443 AWM393443:AXC393443 BGI393443:BGY393443 BQE393443:BQU393443 CAA393443:CAQ393443 CJW393443:CKM393443 CTS393443:CUI393443 DDO393443:DEE393443 DNK393443:DOA393443 DXG393443:DXW393443 EHC393443:EHS393443 EQY393443:ERO393443 FAU393443:FBK393443 FKQ393443:FLG393443 FUM393443:FVC393443 GEI393443:GEY393443 GOE393443:GOU393443 GYA393443:GYQ393443 HHW393443:HIM393443 HRS393443:HSI393443 IBO393443:ICE393443 ILK393443:IMA393443 IVG393443:IVW393443 JFC393443:JFS393443 JOY393443:JPO393443 JYU393443:JZK393443 KIQ393443:KJG393443 KSM393443:KTC393443 LCI393443:LCY393443 LME393443:LMU393443 LWA393443:LWQ393443 MFW393443:MGM393443 MPS393443:MQI393443 MZO393443:NAE393443 NJK393443:NKA393443 NTG393443:NTW393443 ODC393443:ODS393443 OMY393443:ONO393443 OWU393443:OXK393443 PGQ393443:PHG393443 PQM393443:PRC393443 QAI393443:QAY393443 QKE393443:QKU393443 QUA393443:QUQ393443 RDW393443:REM393443 RNS393443:ROI393443 RXO393443:RYE393443 SHK393443:SIA393443 SRG393443:SRW393443 TBC393443:TBS393443 TKY393443:TLO393443 TUU393443:TVK393443 UEQ393443:UFG393443 UOM393443:UPC393443 UYI393443:UYY393443 VIE393443:VIU393443 VSA393443:VSQ393443 WBW393443:WCM393443 WLS393443:WMI393443 WVO393443:WWE393443 G458979:W458979 JC458979:JS458979 SY458979:TO458979 ACU458979:ADK458979 AMQ458979:ANG458979 AWM458979:AXC458979 BGI458979:BGY458979 BQE458979:BQU458979 CAA458979:CAQ458979 CJW458979:CKM458979 CTS458979:CUI458979 DDO458979:DEE458979 DNK458979:DOA458979 DXG458979:DXW458979 EHC458979:EHS458979 EQY458979:ERO458979 FAU458979:FBK458979 FKQ458979:FLG458979 FUM458979:FVC458979 GEI458979:GEY458979 GOE458979:GOU458979 GYA458979:GYQ458979 HHW458979:HIM458979 HRS458979:HSI458979 IBO458979:ICE458979 ILK458979:IMA458979 IVG458979:IVW458979 JFC458979:JFS458979 JOY458979:JPO458979 JYU458979:JZK458979 KIQ458979:KJG458979 KSM458979:KTC458979 LCI458979:LCY458979 LME458979:LMU458979 LWA458979:LWQ458979 MFW458979:MGM458979 MPS458979:MQI458979 MZO458979:NAE458979 NJK458979:NKA458979 NTG458979:NTW458979 ODC458979:ODS458979 OMY458979:ONO458979 OWU458979:OXK458979 PGQ458979:PHG458979 PQM458979:PRC458979 QAI458979:QAY458979 QKE458979:QKU458979 QUA458979:QUQ458979 RDW458979:REM458979 RNS458979:ROI458979 RXO458979:RYE458979 SHK458979:SIA458979 SRG458979:SRW458979 TBC458979:TBS458979 TKY458979:TLO458979 TUU458979:TVK458979 UEQ458979:UFG458979 UOM458979:UPC458979 UYI458979:UYY458979 VIE458979:VIU458979 VSA458979:VSQ458979 WBW458979:WCM458979 WLS458979:WMI458979 WVO458979:WWE458979 G524515:W524515 JC524515:JS524515 SY524515:TO524515 ACU524515:ADK524515 AMQ524515:ANG524515 AWM524515:AXC524515 BGI524515:BGY524515 BQE524515:BQU524515 CAA524515:CAQ524515 CJW524515:CKM524515 CTS524515:CUI524515 DDO524515:DEE524515 DNK524515:DOA524515 DXG524515:DXW524515 EHC524515:EHS524515 EQY524515:ERO524515 FAU524515:FBK524515 FKQ524515:FLG524515 FUM524515:FVC524515 GEI524515:GEY524515 GOE524515:GOU524515 GYA524515:GYQ524515 HHW524515:HIM524515 HRS524515:HSI524515 IBO524515:ICE524515 ILK524515:IMA524515 IVG524515:IVW524515 JFC524515:JFS524515 JOY524515:JPO524515 JYU524515:JZK524515 KIQ524515:KJG524515 KSM524515:KTC524515 LCI524515:LCY524515 LME524515:LMU524515 LWA524515:LWQ524515 MFW524515:MGM524515 MPS524515:MQI524515 MZO524515:NAE524515 NJK524515:NKA524515 NTG524515:NTW524515 ODC524515:ODS524515 OMY524515:ONO524515 OWU524515:OXK524515 PGQ524515:PHG524515 PQM524515:PRC524515 QAI524515:QAY524515 QKE524515:QKU524515 QUA524515:QUQ524515 RDW524515:REM524515 RNS524515:ROI524515 RXO524515:RYE524515 SHK524515:SIA524515 SRG524515:SRW524515 TBC524515:TBS524515 TKY524515:TLO524515 TUU524515:TVK524515 UEQ524515:UFG524515 UOM524515:UPC524515 UYI524515:UYY524515 VIE524515:VIU524515 VSA524515:VSQ524515 WBW524515:WCM524515 WLS524515:WMI524515 WVO524515:WWE524515 G590051:W590051 JC590051:JS590051 SY590051:TO590051 ACU590051:ADK590051 AMQ590051:ANG590051 AWM590051:AXC590051 BGI590051:BGY590051 BQE590051:BQU590051 CAA590051:CAQ590051 CJW590051:CKM590051 CTS590051:CUI590051 DDO590051:DEE590051 DNK590051:DOA590051 DXG590051:DXW590051 EHC590051:EHS590051 EQY590051:ERO590051 FAU590051:FBK590051 FKQ590051:FLG590051 FUM590051:FVC590051 GEI590051:GEY590051 GOE590051:GOU590051 GYA590051:GYQ590051 HHW590051:HIM590051 HRS590051:HSI590051 IBO590051:ICE590051 ILK590051:IMA590051 IVG590051:IVW590051 JFC590051:JFS590051 JOY590051:JPO590051 JYU590051:JZK590051 KIQ590051:KJG590051 KSM590051:KTC590051 LCI590051:LCY590051 LME590051:LMU590051 LWA590051:LWQ590051 MFW590051:MGM590051 MPS590051:MQI590051 MZO590051:NAE590051 NJK590051:NKA590051 NTG590051:NTW590051 ODC590051:ODS590051 OMY590051:ONO590051 OWU590051:OXK590051 PGQ590051:PHG590051 PQM590051:PRC590051 QAI590051:QAY590051 QKE590051:QKU590051 QUA590051:QUQ590051 RDW590051:REM590051 RNS590051:ROI590051 RXO590051:RYE590051 SHK590051:SIA590051 SRG590051:SRW590051 TBC590051:TBS590051 TKY590051:TLO590051 TUU590051:TVK590051 UEQ590051:UFG590051 UOM590051:UPC590051 UYI590051:UYY590051 VIE590051:VIU590051 VSA590051:VSQ590051 WBW590051:WCM590051 WLS590051:WMI590051 WVO590051:WWE590051 G655587:W655587 JC655587:JS655587 SY655587:TO655587 ACU655587:ADK655587 AMQ655587:ANG655587 AWM655587:AXC655587 BGI655587:BGY655587 BQE655587:BQU655587 CAA655587:CAQ655587 CJW655587:CKM655587 CTS655587:CUI655587 DDO655587:DEE655587 DNK655587:DOA655587 DXG655587:DXW655587 EHC655587:EHS655587 EQY655587:ERO655587 FAU655587:FBK655587 FKQ655587:FLG655587 FUM655587:FVC655587 GEI655587:GEY655587 GOE655587:GOU655587 GYA655587:GYQ655587 HHW655587:HIM655587 HRS655587:HSI655587 IBO655587:ICE655587 ILK655587:IMA655587 IVG655587:IVW655587 JFC655587:JFS655587 JOY655587:JPO655587 JYU655587:JZK655587 KIQ655587:KJG655587 KSM655587:KTC655587 LCI655587:LCY655587 LME655587:LMU655587 LWA655587:LWQ655587 MFW655587:MGM655587 MPS655587:MQI655587 MZO655587:NAE655587 NJK655587:NKA655587 NTG655587:NTW655587 ODC655587:ODS655587 OMY655587:ONO655587 OWU655587:OXK655587 PGQ655587:PHG655587 PQM655587:PRC655587 QAI655587:QAY655587 QKE655587:QKU655587 QUA655587:QUQ655587 RDW655587:REM655587 RNS655587:ROI655587 RXO655587:RYE655587 SHK655587:SIA655587 SRG655587:SRW655587 TBC655587:TBS655587 TKY655587:TLO655587 TUU655587:TVK655587 UEQ655587:UFG655587 UOM655587:UPC655587 UYI655587:UYY655587 VIE655587:VIU655587 VSA655587:VSQ655587 WBW655587:WCM655587 WLS655587:WMI655587 WVO655587:WWE655587 G721123:W721123 JC721123:JS721123 SY721123:TO721123 ACU721123:ADK721123 AMQ721123:ANG721123 AWM721123:AXC721123 BGI721123:BGY721123 BQE721123:BQU721123 CAA721123:CAQ721123 CJW721123:CKM721123 CTS721123:CUI721123 DDO721123:DEE721123 DNK721123:DOA721123 DXG721123:DXW721123 EHC721123:EHS721123 EQY721123:ERO721123 FAU721123:FBK721123 FKQ721123:FLG721123 FUM721123:FVC721123 GEI721123:GEY721123 GOE721123:GOU721123 GYA721123:GYQ721123 HHW721123:HIM721123 HRS721123:HSI721123 IBO721123:ICE721123 ILK721123:IMA721123 IVG721123:IVW721123 JFC721123:JFS721123 JOY721123:JPO721123 JYU721123:JZK721123 KIQ721123:KJG721123 KSM721123:KTC721123 LCI721123:LCY721123 LME721123:LMU721123 LWA721123:LWQ721123 MFW721123:MGM721123 MPS721123:MQI721123 MZO721123:NAE721123 NJK721123:NKA721123 NTG721123:NTW721123 ODC721123:ODS721123 OMY721123:ONO721123 OWU721123:OXK721123 PGQ721123:PHG721123 PQM721123:PRC721123 QAI721123:QAY721123 QKE721123:QKU721123 QUA721123:QUQ721123 RDW721123:REM721123 RNS721123:ROI721123 RXO721123:RYE721123 SHK721123:SIA721123 SRG721123:SRW721123 TBC721123:TBS721123 TKY721123:TLO721123 TUU721123:TVK721123 UEQ721123:UFG721123 UOM721123:UPC721123 UYI721123:UYY721123 VIE721123:VIU721123 VSA721123:VSQ721123 WBW721123:WCM721123 WLS721123:WMI721123 WVO721123:WWE721123 G786659:W786659 JC786659:JS786659 SY786659:TO786659 ACU786659:ADK786659 AMQ786659:ANG786659 AWM786659:AXC786659 BGI786659:BGY786659 BQE786659:BQU786659 CAA786659:CAQ786659 CJW786659:CKM786659 CTS786659:CUI786659 DDO786659:DEE786659 DNK786659:DOA786659 DXG786659:DXW786659 EHC786659:EHS786659 EQY786659:ERO786659 FAU786659:FBK786659 FKQ786659:FLG786659 FUM786659:FVC786659 GEI786659:GEY786659 GOE786659:GOU786659 GYA786659:GYQ786659 HHW786659:HIM786659 HRS786659:HSI786659 IBO786659:ICE786659 ILK786659:IMA786659 IVG786659:IVW786659 JFC786659:JFS786659 JOY786659:JPO786659 JYU786659:JZK786659 KIQ786659:KJG786659 KSM786659:KTC786659 LCI786659:LCY786659 LME786659:LMU786659 LWA786659:LWQ786659 MFW786659:MGM786659 MPS786659:MQI786659 MZO786659:NAE786659 NJK786659:NKA786659 NTG786659:NTW786659 ODC786659:ODS786659 OMY786659:ONO786659 OWU786659:OXK786659 PGQ786659:PHG786659 PQM786659:PRC786659 QAI786659:QAY786659 QKE786659:QKU786659 QUA786659:QUQ786659 RDW786659:REM786659 RNS786659:ROI786659 RXO786659:RYE786659 SHK786659:SIA786659 SRG786659:SRW786659 TBC786659:TBS786659 TKY786659:TLO786659 TUU786659:TVK786659 UEQ786659:UFG786659 UOM786659:UPC786659 UYI786659:UYY786659 VIE786659:VIU786659 VSA786659:VSQ786659 WBW786659:WCM786659 WLS786659:WMI786659 WVO786659:WWE786659 G852195:W852195 JC852195:JS852195 SY852195:TO852195 ACU852195:ADK852195 AMQ852195:ANG852195 AWM852195:AXC852195 BGI852195:BGY852195 BQE852195:BQU852195 CAA852195:CAQ852195 CJW852195:CKM852195 CTS852195:CUI852195 DDO852195:DEE852195 DNK852195:DOA852195 DXG852195:DXW852195 EHC852195:EHS852195 EQY852195:ERO852195 FAU852195:FBK852195 FKQ852195:FLG852195 FUM852195:FVC852195 GEI852195:GEY852195 GOE852195:GOU852195 GYA852195:GYQ852195 HHW852195:HIM852195 HRS852195:HSI852195 IBO852195:ICE852195 ILK852195:IMA852195 IVG852195:IVW852195 JFC852195:JFS852195 JOY852195:JPO852195 JYU852195:JZK852195 KIQ852195:KJG852195 KSM852195:KTC852195 LCI852195:LCY852195 LME852195:LMU852195 LWA852195:LWQ852195 MFW852195:MGM852195 MPS852195:MQI852195 MZO852195:NAE852195 NJK852195:NKA852195 NTG852195:NTW852195 ODC852195:ODS852195 OMY852195:ONO852195 OWU852195:OXK852195 PGQ852195:PHG852195 PQM852195:PRC852195 QAI852195:QAY852195 QKE852195:QKU852195 QUA852195:QUQ852195 RDW852195:REM852195 RNS852195:ROI852195 RXO852195:RYE852195 SHK852195:SIA852195 SRG852195:SRW852195 TBC852195:TBS852195 TKY852195:TLO852195 TUU852195:TVK852195 UEQ852195:UFG852195 UOM852195:UPC852195 UYI852195:UYY852195 VIE852195:VIU852195 VSA852195:VSQ852195 WBW852195:WCM852195 WLS852195:WMI852195 WVO852195:WWE852195 G917731:W917731 JC917731:JS917731 SY917731:TO917731 ACU917731:ADK917731 AMQ917731:ANG917731 AWM917731:AXC917731 BGI917731:BGY917731 BQE917731:BQU917731 CAA917731:CAQ917731 CJW917731:CKM917731 CTS917731:CUI917731 DDO917731:DEE917731 DNK917731:DOA917731 DXG917731:DXW917731 EHC917731:EHS917731 EQY917731:ERO917731 FAU917731:FBK917731 FKQ917731:FLG917731 FUM917731:FVC917731 GEI917731:GEY917731 GOE917731:GOU917731 GYA917731:GYQ917731 HHW917731:HIM917731 HRS917731:HSI917731 IBO917731:ICE917731 ILK917731:IMA917731 IVG917731:IVW917731 JFC917731:JFS917731 JOY917731:JPO917731 JYU917731:JZK917731 KIQ917731:KJG917731 KSM917731:KTC917731 LCI917731:LCY917731 LME917731:LMU917731 LWA917731:LWQ917731 MFW917731:MGM917731 MPS917731:MQI917731 MZO917731:NAE917731 NJK917731:NKA917731 NTG917731:NTW917731 ODC917731:ODS917731 OMY917731:ONO917731 OWU917731:OXK917731 PGQ917731:PHG917731 PQM917731:PRC917731 QAI917731:QAY917731 QKE917731:QKU917731 QUA917731:QUQ917731 RDW917731:REM917731 RNS917731:ROI917731 RXO917731:RYE917731 SHK917731:SIA917731 SRG917731:SRW917731 TBC917731:TBS917731 TKY917731:TLO917731 TUU917731:TVK917731 UEQ917731:UFG917731 UOM917731:UPC917731 UYI917731:UYY917731 VIE917731:VIU917731 VSA917731:VSQ917731 WBW917731:WCM917731 WLS917731:WMI917731 WVO917731:WWE917731 G983267:W983267 JC983267:JS983267 SY983267:TO983267 ACU983267:ADK983267 AMQ983267:ANG983267 AWM983267:AXC983267 BGI983267:BGY983267 BQE983267:BQU983267 CAA983267:CAQ983267 CJW983267:CKM983267 CTS983267:CUI983267 DDO983267:DEE983267 DNK983267:DOA983267 DXG983267:DXW983267 EHC983267:EHS983267 EQY983267:ERO983267 FAU983267:FBK983267 FKQ983267:FLG983267 FUM983267:FVC983267 GEI983267:GEY983267 GOE983267:GOU983267 GYA983267:GYQ983267 HHW983267:HIM983267 HRS983267:HSI983267 IBO983267:ICE983267 ILK983267:IMA983267 IVG983267:IVW983267 JFC983267:JFS983267 JOY983267:JPO983267 JYU983267:JZK983267 KIQ983267:KJG983267 KSM983267:KTC983267 LCI983267:LCY983267 LME983267:LMU983267 LWA983267:LWQ983267 MFW983267:MGM983267 MPS983267:MQI983267 MZO983267:NAE983267 NJK983267:NKA983267 NTG983267:NTW983267 ODC983267:ODS983267 OMY983267:ONO983267 OWU983267:OXK983267 PGQ983267:PHG983267 PQM983267:PRC983267 QAI983267:QAY983267 QKE983267:QKU983267 QUA983267:QUQ983267 RDW983267:REM983267 RNS983267:ROI983267 RXO983267:RYE983267 SHK983267:SIA983267 SRG983267:SRW983267 TBC983267:TBS983267 TKY983267:TLO983267 TUU983267:TVK983267 UEQ983267:UFG983267 UOM983267:UPC983267 UYI983267:UYY983267 VIE983267:VIU983267 VSA983267:VSQ983267 WBW983267:WCM983267 WLS983267:WMI983267 WVO983267:WWE983267 G236:W236 JC236:JS236 SY236:TO236 ACU236:ADK236 AMQ236:ANG236 AWM236:AXC236 BGI236:BGY236 BQE236:BQU236 CAA236:CAQ236 CJW236:CKM236 CTS236:CUI236 DDO236:DEE236 DNK236:DOA236 DXG236:DXW236 EHC236:EHS236 EQY236:ERO236 FAU236:FBK236 FKQ236:FLG236 FUM236:FVC236 GEI236:GEY236 GOE236:GOU236 GYA236:GYQ236 HHW236:HIM236 HRS236:HSI236 IBO236:ICE236 ILK236:IMA236 IVG236:IVW236 JFC236:JFS236 JOY236:JPO236 JYU236:JZK236 KIQ236:KJG236 KSM236:KTC236 LCI236:LCY236 LME236:LMU236 LWA236:LWQ236 MFW236:MGM236 MPS236:MQI236 MZO236:NAE236 NJK236:NKA236 NTG236:NTW236 ODC236:ODS236 OMY236:ONO236 OWU236:OXK236 PGQ236:PHG236 PQM236:PRC236 QAI236:QAY236 QKE236:QKU236 QUA236:QUQ236 RDW236:REM236 RNS236:ROI236 RXO236:RYE236 SHK236:SIA236 SRG236:SRW236 TBC236:TBS236 TKY236:TLO236 TUU236:TVK236 UEQ236:UFG236 UOM236:UPC236 UYI236:UYY236 VIE236:VIU236 VSA236:VSQ236 WBW236:WCM236 WLS236:WMI236 WVO236:WWE236 G65772:W65772 JC65772:JS65772 SY65772:TO65772 ACU65772:ADK65772 AMQ65772:ANG65772 AWM65772:AXC65772 BGI65772:BGY65772 BQE65772:BQU65772 CAA65772:CAQ65772 CJW65772:CKM65772 CTS65772:CUI65772 DDO65772:DEE65772 DNK65772:DOA65772 DXG65772:DXW65772 EHC65772:EHS65772 EQY65772:ERO65772 FAU65772:FBK65772 FKQ65772:FLG65772 FUM65772:FVC65772 GEI65772:GEY65772 GOE65772:GOU65772 GYA65772:GYQ65772 HHW65772:HIM65772 HRS65772:HSI65772 IBO65772:ICE65772 ILK65772:IMA65772 IVG65772:IVW65772 JFC65772:JFS65772 JOY65772:JPO65772 JYU65772:JZK65772 KIQ65772:KJG65772 KSM65772:KTC65772 LCI65772:LCY65772 LME65772:LMU65772 LWA65772:LWQ65772 MFW65772:MGM65772 MPS65772:MQI65772 MZO65772:NAE65772 NJK65772:NKA65772 NTG65772:NTW65772 ODC65772:ODS65772 OMY65772:ONO65772 OWU65772:OXK65772 PGQ65772:PHG65772 PQM65772:PRC65772 QAI65772:QAY65772 QKE65772:QKU65772 QUA65772:QUQ65772 RDW65772:REM65772 RNS65772:ROI65772 RXO65772:RYE65772 SHK65772:SIA65772 SRG65772:SRW65772 TBC65772:TBS65772 TKY65772:TLO65772 TUU65772:TVK65772 UEQ65772:UFG65772 UOM65772:UPC65772 UYI65772:UYY65772 VIE65772:VIU65772 VSA65772:VSQ65772 WBW65772:WCM65772 WLS65772:WMI65772 WVO65772:WWE65772 G131308:W131308 JC131308:JS131308 SY131308:TO131308 ACU131308:ADK131308 AMQ131308:ANG131308 AWM131308:AXC131308 BGI131308:BGY131308 BQE131308:BQU131308 CAA131308:CAQ131308 CJW131308:CKM131308 CTS131308:CUI131308 DDO131308:DEE131308 DNK131308:DOA131308 DXG131308:DXW131308 EHC131308:EHS131308 EQY131308:ERO131308 FAU131308:FBK131308 FKQ131308:FLG131308 FUM131308:FVC131308 GEI131308:GEY131308 GOE131308:GOU131308 GYA131308:GYQ131308 HHW131308:HIM131308 HRS131308:HSI131308 IBO131308:ICE131308 ILK131308:IMA131308 IVG131308:IVW131308 JFC131308:JFS131308 JOY131308:JPO131308 JYU131308:JZK131308 KIQ131308:KJG131308 KSM131308:KTC131308 LCI131308:LCY131308 LME131308:LMU131308 LWA131308:LWQ131308 MFW131308:MGM131308 MPS131308:MQI131308 MZO131308:NAE131308 NJK131308:NKA131308 NTG131308:NTW131308 ODC131308:ODS131308 OMY131308:ONO131308 OWU131308:OXK131308 PGQ131308:PHG131308 PQM131308:PRC131308 QAI131308:QAY131308 QKE131308:QKU131308 QUA131308:QUQ131308 RDW131308:REM131308 RNS131308:ROI131308 RXO131308:RYE131308 SHK131308:SIA131308 SRG131308:SRW131308 TBC131308:TBS131308 TKY131308:TLO131308 TUU131308:TVK131308 UEQ131308:UFG131308 UOM131308:UPC131308 UYI131308:UYY131308 VIE131308:VIU131308 VSA131308:VSQ131308 WBW131308:WCM131308 WLS131308:WMI131308 WVO131308:WWE131308 G196844:W196844 JC196844:JS196844 SY196844:TO196844 ACU196844:ADK196844 AMQ196844:ANG196844 AWM196844:AXC196844 BGI196844:BGY196844 BQE196844:BQU196844 CAA196844:CAQ196844 CJW196844:CKM196844 CTS196844:CUI196844 DDO196844:DEE196844 DNK196844:DOA196844 DXG196844:DXW196844 EHC196844:EHS196844 EQY196844:ERO196844 FAU196844:FBK196844 FKQ196844:FLG196844 FUM196844:FVC196844 GEI196844:GEY196844 GOE196844:GOU196844 GYA196844:GYQ196844 HHW196844:HIM196844 HRS196844:HSI196844 IBO196844:ICE196844 ILK196844:IMA196844 IVG196844:IVW196844 JFC196844:JFS196844 JOY196844:JPO196844 JYU196844:JZK196844 KIQ196844:KJG196844 KSM196844:KTC196844 LCI196844:LCY196844 LME196844:LMU196844 LWA196844:LWQ196844 MFW196844:MGM196844 MPS196844:MQI196844 MZO196844:NAE196844 NJK196844:NKA196844 NTG196844:NTW196844 ODC196844:ODS196844 OMY196844:ONO196844 OWU196844:OXK196844 PGQ196844:PHG196844 PQM196844:PRC196844 QAI196844:QAY196844 QKE196844:QKU196844 QUA196844:QUQ196844 RDW196844:REM196844 RNS196844:ROI196844 RXO196844:RYE196844 SHK196844:SIA196844 SRG196844:SRW196844 TBC196844:TBS196844 TKY196844:TLO196844 TUU196844:TVK196844 UEQ196844:UFG196844 UOM196844:UPC196844 UYI196844:UYY196844 VIE196844:VIU196844 VSA196844:VSQ196844 WBW196844:WCM196844 WLS196844:WMI196844 WVO196844:WWE196844 G262380:W262380 JC262380:JS262380 SY262380:TO262380 ACU262380:ADK262380 AMQ262380:ANG262380 AWM262380:AXC262380 BGI262380:BGY262380 BQE262380:BQU262380 CAA262380:CAQ262380 CJW262380:CKM262380 CTS262380:CUI262380 DDO262380:DEE262380 DNK262380:DOA262380 DXG262380:DXW262380 EHC262380:EHS262380 EQY262380:ERO262380 FAU262380:FBK262380 FKQ262380:FLG262380 FUM262380:FVC262380 GEI262380:GEY262380 GOE262380:GOU262380 GYA262380:GYQ262380 HHW262380:HIM262380 HRS262380:HSI262380 IBO262380:ICE262380 ILK262380:IMA262380 IVG262380:IVW262380 JFC262380:JFS262380 JOY262380:JPO262380 JYU262380:JZK262380 KIQ262380:KJG262380 KSM262380:KTC262380 LCI262380:LCY262380 LME262380:LMU262380 LWA262380:LWQ262380 MFW262380:MGM262380 MPS262380:MQI262380 MZO262380:NAE262380 NJK262380:NKA262380 NTG262380:NTW262380 ODC262380:ODS262380 OMY262380:ONO262380 OWU262380:OXK262380 PGQ262380:PHG262380 PQM262380:PRC262380 QAI262380:QAY262380 QKE262380:QKU262380 QUA262380:QUQ262380 RDW262380:REM262380 RNS262380:ROI262380 RXO262380:RYE262380 SHK262380:SIA262380 SRG262380:SRW262380 TBC262380:TBS262380 TKY262380:TLO262380 TUU262380:TVK262380 UEQ262380:UFG262380 UOM262380:UPC262380 UYI262380:UYY262380 VIE262380:VIU262380 VSA262380:VSQ262380 WBW262380:WCM262380 WLS262380:WMI262380 WVO262380:WWE262380 G327916:W327916 JC327916:JS327916 SY327916:TO327916 ACU327916:ADK327916 AMQ327916:ANG327916 AWM327916:AXC327916 BGI327916:BGY327916 BQE327916:BQU327916 CAA327916:CAQ327916 CJW327916:CKM327916 CTS327916:CUI327916 DDO327916:DEE327916 DNK327916:DOA327916 DXG327916:DXW327916 EHC327916:EHS327916 EQY327916:ERO327916 FAU327916:FBK327916 FKQ327916:FLG327916 FUM327916:FVC327916 GEI327916:GEY327916 GOE327916:GOU327916 GYA327916:GYQ327916 HHW327916:HIM327916 HRS327916:HSI327916 IBO327916:ICE327916 ILK327916:IMA327916 IVG327916:IVW327916 JFC327916:JFS327916 JOY327916:JPO327916 JYU327916:JZK327916 KIQ327916:KJG327916 KSM327916:KTC327916 LCI327916:LCY327916 LME327916:LMU327916 LWA327916:LWQ327916 MFW327916:MGM327916 MPS327916:MQI327916 MZO327916:NAE327916 NJK327916:NKA327916 NTG327916:NTW327916 ODC327916:ODS327916 OMY327916:ONO327916 OWU327916:OXK327916 PGQ327916:PHG327916 PQM327916:PRC327916 QAI327916:QAY327916 QKE327916:QKU327916 QUA327916:QUQ327916 RDW327916:REM327916 RNS327916:ROI327916 RXO327916:RYE327916 SHK327916:SIA327916 SRG327916:SRW327916 TBC327916:TBS327916 TKY327916:TLO327916 TUU327916:TVK327916 UEQ327916:UFG327916 UOM327916:UPC327916 UYI327916:UYY327916 VIE327916:VIU327916 VSA327916:VSQ327916 WBW327916:WCM327916 WLS327916:WMI327916 WVO327916:WWE327916 G393452:W393452 JC393452:JS393452 SY393452:TO393452 ACU393452:ADK393452 AMQ393452:ANG393452 AWM393452:AXC393452 BGI393452:BGY393452 BQE393452:BQU393452 CAA393452:CAQ393452 CJW393452:CKM393452 CTS393452:CUI393452 DDO393452:DEE393452 DNK393452:DOA393452 DXG393452:DXW393452 EHC393452:EHS393452 EQY393452:ERO393452 FAU393452:FBK393452 FKQ393452:FLG393452 FUM393452:FVC393452 GEI393452:GEY393452 GOE393452:GOU393452 GYA393452:GYQ393452 HHW393452:HIM393452 HRS393452:HSI393452 IBO393452:ICE393452 ILK393452:IMA393452 IVG393452:IVW393452 JFC393452:JFS393452 JOY393452:JPO393452 JYU393452:JZK393452 KIQ393452:KJG393452 KSM393452:KTC393452 LCI393452:LCY393452 LME393452:LMU393452 LWA393452:LWQ393452 MFW393452:MGM393452 MPS393452:MQI393452 MZO393452:NAE393452 NJK393452:NKA393452 NTG393452:NTW393452 ODC393452:ODS393452 OMY393452:ONO393452 OWU393452:OXK393452 PGQ393452:PHG393452 PQM393452:PRC393452 QAI393452:QAY393452 QKE393452:QKU393452 QUA393452:QUQ393452 RDW393452:REM393452 RNS393452:ROI393452 RXO393452:RYE393452 SHK393452:SIA393452 SRG393452:SRW393452 TBC393452:TBS393452 TKY393452:TLO393452 TUU393452:TVK393452 UEQ393452:UFG393452 UOM393452:UPC393452 UYI393452:UYY393452 VIE393452:VIU393452 VSA393452:VSQ393452 WBW393452:WCM393452 WLS393452:WMI393452 WVO393452:WWE393452 G458988:W458988 JC458988:JS458988 SY458988:TO458988 ACU458988:ADK458988 AMQ458988:ANG458988 AWM458988:AXC458988 BGI458988:BGY458988 BQE458988:BQU458988 CAA458988:CAQ458988 CJW458988:CKM458988 CTS458988:CUI458988 DDO458988:DEE458988 DNK458988:DOA458988 DXG458988:DXW458988 EHC458988:EHS458988 EQY458988:ERO458988 FAU458988:FBK458988 FKQ458988:FLG458988 FUM458988:FVC458988 GEI458988:GEY458988 GOE458988:GOU458988 GYA458988:GYQ458988 HHW458988:HIM458988 HRS458988:HSI458988 IBO458988:ICE458988 ILK458988:IMA458988 IVG458988:IVW458988 JFC458988:JFS458988 JOY458988:JPO458988 JYU458988:JZK458988 KIQ458988:KJG458988 KSM458988:KTC458988 LCI458988:LCY458988 LME458988:LMU458988 LWA458988:LWQ458988 MFW458988:MGM458988 MPS458988:MQI458988 MZO458988:NAE458988 NJK458988:NKA458988 NTG458988:NTW458988 ODC458988:ODS458988 OMY458988:ONO458988 OWU458988:OXK458988 PGQ458988:PHG458988 PQM458988:PRC458988 QAI458988:QAY458988 QKE458988:QKU458988 QUA458988:QUQ458988 RDW458988:REM458988 RNS458988:ROI458988 RXO458988:RYE458988 SHK458988:SIA458988 SRG458988:SRW458988 TBC458988:TBS458988 TKY458988:TLO458988 TUU458988:TVK458988 UEQ458988:UFG458988 UOM458988:UPC458988 UYI458988:UYY458988 VIE458988:VIU458988 VSA458988:VSQ458988 WBW458988:WCM458988 WLS458988:WMI458988 WVO458988:WWE458988 G524524:W524524 JC524524:JS524524 SY524524:TO524524 ACU524524:ADK524524 AMQ524524:ANG524524 AWM524524:AXC524524 BGI524524:BGY524524 BQE524524:BQU524524 CAA524524:CAQ524524 CJW524524:CKM524524 CTS524524:CUI524524 DDO524524:DEE524524 DNK524524:DOA524524 DXG524524:DXW524524 EHC524524:EHS524524 EQY524524:ERO524524 FAU524524:FBK524524 FKQ524524:FLG524524 FUM524524:FVC524524 GEI524524:GEY524524 GOE524524:GOU524524 GYA524524:GYQ524524 HHW524524:HIM524524 HRS524524:HSI524524 IBO524524:ICE524524 ILK524524:IMA524524 IVG524524:IVW524524 JFC524524:JFS524524 JOY524524:JPO524524 JYU524524:JZK524524 KIQ524524:KJG524524 KSM524524:KTC524524 LCI524524:LCY524524 LME524524:LMU524524 LWA524524:LWQ524524 MFW524524:MGM524524 MPS524524:MQI524524 MZO524524:NAE524524 NJK524524:NKA524524 NTG524524:NTW524524 ODC524524:ODS524524 OMY524524:ONO524524 OWU524524:OXK524524 PGQ524524:PHG524524 PQM524524:PRC524524 QAI524524:QAY524524 QKE524524:QKU524524 QUA524524:QUQ524524 RDW524524:REM524524 RNS524524:ROI524524 RXO524524:RYE524524 SHK524524:SIA524524 SRG524524:SRW524524 TBC524524:TBS524524 TKY524524:TLO524524 TUU524524:TVK524524 UEQ524524:UFG524524 UOM524524:UPC524524 UYI524524:UYY524524 VIE524524:VIU524524 VSA524524:VSQ524524 WBW524524:WCM524524 WLS524524:WMI524524 WVO524524:WWE524524 G590060:W590060 JC590060:JS590060 SY590060:TO590060 ACU590060:ADK590060 AMQ590060:ANG590060 AWM590060:AXC590060 BGI590060:BGY590060 BQE590060:BQU590060 CAA590060:CAQ590060 CJW590060:CKM590060 CTS590060:CUI590060 DDO590060:DEE590060 DNK590060:DOA590060 DXG590060:DXW590060 EHC590060:EHS590060 EQY590060:ERO590060 FAU590060:FBK590060 FKQ590060:FLG590060 FUM590060:FVC590060 GEI590060:GEY590060 GOE590060:GOU590060 GYA590060:GYQ590060 HHW590060:HIM590060 HRS590060:HSI590060 IBO590060:ICE590060 ILK590060:IMA590060 IVG590060:IVW590060 JFC590060:JFS590060 JOY590060:JPO590060 JYU590060:JZK590060 KIQ590060:KJG590060 KSM590060:KTC590060 LCI590060:LCY590060 LME590060:LMU590060 LWA590060:LWQ590060 MFW590060:MGM590060 MPS590060:MQI590060 MZO590060:NAE590060 NJK590060:NKA590060 NTG590060:NTW590060 ODC590060:ODS590060 OMY590060:ONO590060 OWU590060:OXK590060 PGQ590060:PHG590060 PQM590060:PRC590060 QAI590060:QAY590060 QKE590060:QKU590060 QUA590060:QUQ590060 RDW590060:REM590060 RNS590060:ROI590060 RXO590060:RYE590060 SHK590060:SIA590060 SRG590060:SRW590060 TBC590060:TBS590060 TKY590060:TLO590060 TUU590060:TVK590060 UEQ590060:UFG590060 UOM590060:UPC590060 UYI590060:UYY590060 VIE590060:VIU590060 VSA590060:VSQ590060 WBW590060:WCM590060 WLS590060:WMI590060 WVO590060:WWE590060 G655596:W655596 JC655596:JS655596 SY655596:TO655596 ACU655596:ADK655596 AMQ655596:ANG655596 AWM655596:AXC655596 BGI655596:BGY655596 BQE655596:BQU655596 CAA655596:CAQ655596 CJW655596:CKM655596 CTS655596:CUI655596 DDO655596:DEE655596 DNK655596:DOA655596 DXG655596:DXW655596 EHC655596:EHS655596 EQY655596:ERO655596 FAU655596:FBK655596 FKQ655596:FLG655596 FUM655596:FVC655596 GEI655596:GEY655596 GOE655596:GOU655596 GYA655596:GYQ655596 HHW655596:HIM655596 HRS655596:HSI655596 IBO655596:ICE655596 ILK655596:IMA655596 IVG655596:IVW655596 JFC655596:JFS655596 JOY655596:JPO655596 JYU655596:JZK655596 KIQ655596:KJG655596 KSM655596:KTC655596 LCI655596:LCY655596 LME655596:LMU655596 LWA655596:LWQ655596 MFW655596:MGM655596 MPS655596:MQI655596 MZO655596:NAE655596 NJK655596:NKA655596 NTG655596:NTW655596 ODC655596:ODS655596 OMY655596:ONO655596 OWU655596:OXK655596 PGQ655596:PHG655596 PQM655596:PRC655596 QAI655596:QAY655596 QKE655596:QKU655596 QUA655596:QUQ655596 RDW655596:REM655596 RNS655596:ROI655596 RXO655596:RYE655596 SHK655596:SIA655596 SRG655596:SRW655596 TBC655596:TBS655596 TKY655596:TLO655596 TUU655596:TVK655596 UEQ655596:UFG655596 UOM655596:UPC655596 UYI655596:UYY655596 VIE655596:VIU655596 VSA655596:VSQ655596 WBW655596:WCM655596 WLS655596:WMI655596 WVO655596:WWE655596 G721132:W721132 JC721132:JS721132 SY721132:TO721132 ACU721132:ADK721132 AMQ721132:ANG721132 AWM721132:AXC721132 BGI721132:BGY721132 BQE721132:BQU721132 CAA721132:CAQ721132 CJW721132:CKM721132 CTS721132:CUI721132 DDO721132:DEE721132 DNK721132:DOA721132 DXG721132:DXW721132 EHC721132:EHS721132 EQY721132:ERO721132 FAU721132:FBK721132 FKQ721132:FLG721132 FUM721132:FVC721132 GEI721132:GEY721132 GOE721132:GOU721132 GYA721132:GYQ721132 HHW721132:HIM721132 HRS721132:HSI721132 IBO721132:ICE721132 ILK721132:IMA721132 IVG721132:IVW721132 JFC721132:JFS721132 JOY721132:JPO721132 JYU721132:JZK721132 KIQ721132:KJG721132 KSM721132:KTC721132 LCI721132:LCY721132 LME721132:LMU721132 LWA721132:LWQ721132 MFW721132:MGM721132 MPS721132:MQI721132 MZO721132:NAE721132 NJK721132:NKA721132 NTG721132:NTW721132 ODC721132:ODS721132 OMY721132:ONO721132 OWU721132:OXK721132 PGQ721132:PHG721132 PQM721132:PRC721132 QAI721132:QAY721132 QKE721132:QKU721132 QUA721132:QUQ721132 RDW721132:REM721132 RNS721132:ROI721132 RXO721132:RYE721132 SHK721132:SIA721132 SRG721132:SRW721132 TBC721132:TBS721132 TKY721132:TLO721132 TUU721132:TVK721132 UEQ721132:UFG721132 UOM721132:UPC721132 UYI721132:UYY721132 VIE721132:VIU721132 VSA721132:VSQ721132 WBW721132:WCM721132 WLS721132:WMI721132 WVO721132:WWE721132 G786668:W786668 JC786668:JS786668 SY786668:TO786668 ACU786668:ADK786668 AMQ786668:ANG786668 AWM786668:AXC786668 BGI786668:BGY786668 BQE786668:BQU786668 CAA786668:CAQ786668 CJW786668:CKM786668 CTS786668:CUI786668 DDO786668:DEE786668 DNK786668:DOA786668 DXG786668:DXW786668 EHC786668:EHS786668 EQY786668:ERO786668 FAU786668:FBK786668 FKQ786668:FLG786668 FUM786668:FVC786668 GEI786668:GEY786668 GOE786668:GOU786668 GYA786668:GYQ786668 HHW786668:HIM786668 HRS786668:HSI786668 IBO786668:ICE786668 ILK786668:IMA786668 IVG786668:IVW786668 JFC786668:JFS786668 JOY786668:JPO786668 JYU786668:JZK786668 KIQ786668:KJG786668 KSM786668:KTC786668 LCI786668:LCY786668 LME786668:LMU786668 LWA786668:LWQ786668 MFW786668:MGM786668 MPS786668:MQI786668 MZO786668:NAE786668 NJK786668:NKA786668 NTG786668:NTW786668 ODC786668:ODS786668 OMY786668:ONO786668 OWU786668:OXK786668 PGQ786668:PHG786668 PQM786668:PRC786668 QAI786668:QAY786668 QKE786668:QKU786668 QUA786668:QUQ786668 RDW786668:REM786668 RNS786668:ROI786668 RXO786668:RYE786668 SHK786668:SIA786668 SRG786668:SRW786668 TBC786668:TBS786668 TKY786668:TLO786668 TUU786668:TVK786668 UEQ786668:UFG786668 UOM786668:UPC786668 UYI786668:UYY786668 VIE786668:VIU786668 VSA786668:VSQ786668 WBW786668:WCM786668 WLS786668:WMI786668 WVO786668:WWE786668 G852204:W852204 JC852204:JS852204 SY852204:TO852204 ACU852204:ADK852204 AMQ852204:ANG852204 AWM852204:AXC852204 BGI852204:BGY852204 BQE852204:BQU852204 CAA852204:CAQ852204 CJW852204:CKM852204 CTS852204:CUI852204 DDO852204:DEE852204 DNK852204:DOA852204 DXG852204:DXW852204 EHC852204:EHS852204 EQY852204:ERO852204 FAU852204:FBK852204 FKQ852204:FLG852204 FUM852204:FVC852204 GEI852204:GEY852204 GOE852204:GOU852204 GYA852204:GYQ852204 HHW852204:HIM852204 HRS852204:HSI852204 IBO852204:ICE852204 ILK852204:IMA852204 IVG852204:IVW852204 JFC852204:JFS852204 JOY852204:JPO852204 JYU852204:JZK852204 KIQ852204:KJG852204 KSM852204:KTC852204 LCI852204:LCY852204 LME852204:LMU852204 LWA852204:LWQ852204 MFW852204:MGM852204 MPS852204:MQI852204 MZO852204:NAE852204 NJK852204:NKA852204 NTG852204:NTW852204 ODC852204:ODS852204 OMY852204:ONO852204 OWU852204:OXK852204 PGQ852204:PHG852204 PQM852204:PRC852204 QAI852204:QAY852204 QKE852204:QKU852204 QUA852204:QUQ852204 RDW852204:REM852204 RNS852204:ROI852204 RXO852204:RYE852204 SHK852204:SIA852204 SRG852204:SRW852204 TBC852204:TBS852204 TKY852204:TLO852204 TUU852204:TVK852204 UEQ852204:UFG852204 UOM852204:UPC852204 UYI852204:UYY852204 VIE852204:VIU852204 VSA852204:VSQ852204 WBW852204:WCM852204 WLS852204:WMI852204 WVO852204:WWE852204 G917740:W917740 JC917740:JS917740 SY917740:TO917740 ACU917740:ADK917740 AMQ917740:ANG917740 AWM917740:AXC917740 BGI917740:BGY917740 BQE917740:BQU917740 CAA917740:CAQ917740 CJW917740:CKM917740 CTS917740:CUI917740 DDO917740:DEE917740 DNK917740:DOA917740 DXG917740:DXW917740 EHC917740:EHS917740 EQY917740:ERO917740 FAU917740:FBK917740 FKQ917740:FLG917740 FUM917740:FVC917740 GEI917740:GEY917740 GOE917740:GOU917740 GYA917740:GYQ917740 HHW917740:HIM917740 HRS917740:HSI917740 IBO917740:ICE917740 ILK917740:IMA917740 IVG917740:IVW917740 JFC917740:JFS917740 JOY917740:JPO917740 JYU917740:JZK917740 KIQ917740:KJG917740 KSM917740:KTC917740 LCI917740:LCY917740 LME917740:LMU917740 LWA917740:LWQ917740 MFW917740:MGM917740 MPS917740:MQI917740 MZO917740:NAE917740 NJK917740:NKA917740 NTG917740:NTW917740 ODC917740:ODS917740 OMY917740:ONO917740 OWU917740:OXK917740 PGQ917740:PHG917740 PQM917740:PRC917740 QAI917740:QAY917740 QKE917740:QKU917740 QUA917740:QUQ917740 RDW917740:REM917740 RNS917740:ROI917740 RXO917740:RYE917740 SHK917740:SIA917740 SRG917740:SRW917740 TBC917740:TBS917740 TKY917740:TLO917740 TUU917740:TVK917740 UEQ917740:UFG917740 UOM917740:UPC917740 UYI917740:UYY917740 VIE917740:VIU917740 VSA917740:VSQ917740 WBW917740:WCM917740 WLS917740:WMI917740 WVO917740:WWE917740 G983276:W983276 JC983276:JS983276 SY983276:TO983276 ACU983276:ADK983276 AMQ983276:ANG983276 AWM983276:AXC983276 BGI983276:BGY983276 BQE983276:BQU983276 CAA983276:CAQ983276 CJW983276:CKM983276 CTS983276:CUI983276 DDO983276:DEE983276 DNK983276:DOA983276 DXG983276:DXW983276 EHC983276:EHS983276 EQY983276:ERO983276 FAU983276:FBK983276 FKQ983276:FLG983276 FUM983276:FVC983276 GEI983276:GEY983276 GOE983276:GOU983276 GYA983276:GYQ983276 HHW983276:HIM983276 HRS983276:HSI983276 IBO983276:ICE983276 ILK983276:IMA983276 IVG983276:IVW983276 JFC983276:JFS983276 JOY983276:JPO983276 JYU983276:JZK983276 KIQ983276:KJG983276 KSM983276:KTC983276 LCI983276:LCY983276 LME983276:LMU983276 LWA983276:LWQ983276 MFW983276:MGM983276 MPS983276:MQI983276 MZO983276:NAE983276 NJK983276:NKA983276 NTG983276:NTW983276 ODC983276:ODS983276 OMY983276:ONO983276 OWU983276:OXK983276 PGQ983276:PHG983276 PQM983276:PRC983276 QAI983276:QAY983276 QKE983276:QKU983276 QUA983276:QUQ983276 RDW983276:REM983276 RNS983276:ROI983276 RXO983276:RYE983276 SHK983276:SIA983276 SRG983276:SRW983276 TBC983276:TBS983276 TKY983276:TLO983276 TUU983276:TVK983276 UEQ983276:UFG983276 UOM983276:UPC983276 UYI983276:UYY983276 VIE983276:VIU983276 VSA983276:VSQ983276 WBW983276:WCM983276 WLS983276:WMI983276 WVO983276:WWE983276 S17 JO17 TK17 ADG17 ANC17 AWY17 BGU17 BQQ17 CAM17 CKI17 CUE17 DEA17 DNW17 DXS17 EHO17 ERK17 FBG17 FLC17 FUY17 GEU17 GOQ17 GYM17 HII17 HSE17 ICA17 ILW17 IVS17 JFO17 JPK17 JZG17 KJC17 KSY17 LCU17 LMQ17 LWM17 MGI17 MQE17 NAA17 NJW17 NTS17 ODO17 ONK17 OXG17 PHC17 PQY17 QAU17 QKQ17 QUM17 REI17 ROE17 RYA17 SHW17 SRS17 TBO17 TLK17 TVG17 UFC17 UOY17 UYU17 VIQ17 VSM17 WCI17 WME17 WWA17 S65553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S131089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S196625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S262161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S327697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S393233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S458769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S524305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S589841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S655377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S720913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S786449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S851985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S917521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S983057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W17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79995117038483843"/>
  </sheetPr>
  <dimension ref="A1:X47"/>
  <sheetViews>
    <sheetView zoomScaleNormal="100" workbookViewId="0"/>
  </sheetViews>
  <sheetFormatPr defaultColWidth="3.625" defaultRowHeight="15" customHeight="1"/>
  <cols>
    <col min="1" max="1" width="3.625" style="844" customWidth="1"/>
    <col min="2" max="16384" width="3.625" style="844"/>
  </cols>
  <sheetData>
    <row r="1" spans="1:24" ht="13.5">
      <c r="A1" s="844" t="s">
        <v>3458</v>
      </c>
    </row>
    <row r="4" spans="1:24" ht="13.5">
      <c r="A4" s="1903" t="s">
        <v>2816</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row>
    <row r="5" spans="1:24" ht="13.5">
      <c r="A5" s="1903"/>
      <c r="B5" s="1903"/>
      <c r="C5" s="1903"/>
      <c r="D5" s="1903"/>
      <c r="E5" s="1903"/>
      <c r="F5" s="1903"/>
      <c r="G5" s="1903"/>
      <c r="H5" s="1903"/>
      <c r="I5" s="1903"/>
      <c r="J5" s="1903"/>
      <c r="K5" s="1903"/>
      <c r="L5" s="1903"/>
      <c r="M5" s="1903"/>
      <c r="N5" s="1903"/>
      <c r="O5" s="1903"/>
      <c r="P5" s="1903"/>
      <c r="Q5" s="1903"/>
      <c r="R5" s="1903"/>
      <c r="S5" s="1903"/>
      <c r="T5" s="1903"/>
      <c r="U5" s="1903"/>
      <c r="V5" s="1903"/>
      <c r="W5" s="1903"/>
      <c r="X5" s="1903"/>
    </row>
    <row r="6" spans="1:24" ht="17.25">
      <c r="A6" s="845"/>
      <c r="B6" s="845"/>
      <c r="C6" s="845"/>
      <c r="D6" s="845"/>
      <c r="E6" s="845"/>
      <c r="F6" s="845"/>
      <c r="G6" s="845"/>
      <c r="H6" s="845"/>
      <c r="I6" s="845"/>
      <c r="J6" s="845"/>
      <c r="K6" s="845"/>
      <c r="L6" s="845"/>
      <c r="M6" s="845"/>
      <c r="N6" s="845"/>
      <c r="O6" s="845"/>
      <c r="P6" s="845"/>
      <c r="Q6" s="845"/>
      <c r="R6" s="845"/>
      <c r="S6" s="845"/>
      <c r="T6" s="845"/>
      <c r="U6" s="845"/>
      <c r="V6" s="845"/>
      <c r="W6" s="845"/>
      <c r="X6" s="845"/>
    </row>
    <row r="8" spans="1:24" ht="13.5">
      <c r="Q8" s="1906" t="s">
        <v>3089</v>
      </c>
      <c r="R8" s="1906"/>
      <c r="S8" s="803"/>
      <c r="T8" s="733" t="s">
        <v>371</v>
      </c>
      <c r="U8" s="803"/>
      <c r="V8" s="733" t="s">
        <v>4</v>
      </c>
      <c r="W8" s="803"/>
      <c r="X8" s="733" t="s">
        <v>373</v>
      </c>
    </row>
    <row r="9" spans="1:24" ht="13.5">
      <c r="R9" s="786"/>
      <c r="S9" s="733"/>
      <c r="T9" s="733"/>
      <c r="U9" s="733"/>
      <c r="V9" s="733"/>
      <c r="W9" s="733"/>
      <c r="X9" s="733"/>
    </row>
    <row r="11" spans="1:24" ht="13.5">
      <c r="A11" s="844" t="str">
        <f ca="1">cst_Pre_Corp__SHINSEI</f>
        <v>一般財団法人　岩手県建築住宅センター</v>
      </c>
    </row>
    <row r="12" spans="1:24" ht="13.5">
      <c r="A12" s="844" t="str">
        <f ca="1">"　　"&amp;cst_Pre_Daihyou__SHINSEI&amp;"　様"</f>
        <v>　　理事長　　渡 邊 健 治　様</v>
      </c>
    </row>
    <row r="15" spans="1:24" ht="13.5">
      <c r="O15" s="786" t="s">
        <v>3171</v>
      </c>
      <c r="Q15" s="1956" t="str">
        <f>cst_wskakunin_owner1__address</f>
        <v/>
      </c>
      <c r="R15" s="1956"/>
      <c r="S15" s="1956"/>
      <c r="T15" s="1956"/>
      <c r="U15" s="1956"/>
      <c r="V15" s="1956"/>
      <c r="W15" s="1956"/>
      <c r="X15" s="733"/>
    </row>
    <row r="16" spans="1:24" ht="13.5">
      <c r="Q16" s="1956"/>
      <c r="R16" s="1956"/>
      <c r="S16" s="1956"/>
      <c r="T16" s="1956"/>
      <c r="U16" s="1956"/>
      <c r="V16" s="1956"/>
      <c r="W16" s="1956"/>
      <c r="X16" s="733"/>
    </row>
    <row r="17" spans="1:24" ht="13.5">
      <c r="O17" s="786" t="s">
        <v>19</v>
      </c>
      <c r="Q17" s="1956" t="str">
        <f>cst_wskakunin_owner1__space</f>
        <v/>
      </c>
      <c r="R17" s="1956"/>
      <c r="S17" s="1956"/>
      <c r="T17" s="1956"/>
      <c r="U17" s="1956"/>
      <c r="V17" s="1956"/>
      <c r="W17" s="1956"/>
      <c r="X17" s="733" t="s">
        <v>372</v>
      </c>
    </row>
    <row r="18" spans="1:24" ht="13.5">
      <c r="Q18" s="1956"/>
      <c r="R18" s="1956"/>
      <c r="S18" s="1956"/>
      <c r="T18" s="1956"/>
      <c r="U18" s="1956"/>
      <c r="V18" s="1956"/>
      <c r="W18" s="1956"/>
      <c r="X18" s="733"/>
    </row>
    <row r="19" spans="1:24" ht="13.5">
      <c r="Q19" s="1956" t="str">
        <f>cst_wskakunin_owner2__space</f>
        <v/>
      </c>
      <c r="R19" s="1956"/>
      <c r="S19" s="1956"/>
      <c r="T19" s="1956"/>
      <c r="U19" s="1956"/>
      <c r="V19" s="1956"/>
      <c r="W19" s="1956"/>
      <c r="X19" s="846" t="str">
        <f>IF(Q19="","","印")</f>
        <v/>
      </c>
    </row>
    <row r="20" spans="1:24" ht="13.5">
      <c r="Q20" s="1956"/>
      <c r="R20" s="1956"/>
      <c r="S20" s="1956"/>
      <c r="T20" s="1956"/>
      <c r="U20" s="1956"/>
      <c r="V20" s="1956"/>
      <c r="W20" s="1956"/>
    </row>
    <row r="21" spans="1:24" ht="13.5">
      <c r="Q21" s="1956" t="str">
        <f>cst_wskakunin_owner3__space</f>
        <v/>
      </c>
      <c r="R21" s="1956"/>
      <c r="S21" s="1956"/>
      <c r="T21" s="1956"/>
      <c r="U21" s="1956"/>
      <c r="V21" s="1956"/>
      <c r="W21" s="1956"/>
      <c r="X21" s="846" t="str">
        <f>IF(Q21="","","印")</f>
        <v/>
      </c>
    </row>
    <row r="22" spans="1:24" ht="13.5">
      <c r="Q22" s="1956"/>
      <c r="R22" s="1956"/>
      <c r="S22" s="1956"/>
      <c r="T22" s="1956"/>
      <c r="U22" s="1956"/>
      <c r="V22" s="1956"/>
      <c r="W22" s="1956"/>
    </row>
    <row r="23" spans="1:24" ht="13.5">
      <c r="Q23" s="1956" t="str">
        <f>cst_wskakunin_owner4__space</f>
        <v/>
      </c>
      <c r="R23" s="1956"/>
      <c r="S23" s="1956"/>
      <c r="T23" s="1956"/>
      <c r="U23" s="1956"/>
      <c r="V23" s="1956"/>
      <c r="W23" s="1956"/>
      <c r="X23" s="846" t="str">
        <f>IF(Q23="","","印")</f>
        <v/>
      </c>
    </row>
    <row r="24" spans="1:24" ht="13.5">
      <c r="Q24" s="1956"/>
      <c r="R24" s="1956"/>
      <c r="S24" s="1956"/>
      <c r="T24" s="1956"/>
      <c r="U24" s="1956"/>
      <c r="V24" s="1956"/>
      <c r="W24" s="1956"/>
    </row>
    <row r="25" spans="1:24" ht="13.5">
      <c r="B25" s="844" t="s">
        <v>3459</v>
      </c>
    </row>
    <row r="27" spans="1:24" ht="24.95" customHeight="1">
      <c r="A27" s="1957" t="s">
        <v>3173</v>
      </c>
      <c r="B27" s="1957"/>
      <c r="C27" s="1957"/>
      <c r="D27" s="1957"/>
      <c r="E27" s="1957"/>
      <c r="F27" s="1957"/>
      <c r="G27" s="1957"/>
      <c r="H27" s="1958" t="str">
        <f>cst_wskakunin_owner1__space&amp;" "&amp;cst_wskakunin_owner2__space&amp;" "&amp;cst_wskakunin_owner3__space&amp;" "&amp;cst_wskakunin_owner4__space</f>
        <v xml:space="preserve">   </v>
      </c>
      <c r="I27" s="1958"/>
      <c r="J27" s="1958"/>
      <c r="K27" s="1958"/>
      <c r="L27" s="1958"/>
      <c r="M27" s="1958"/>
      <c r="N27" s="1958"/>
      <c r="O27" s="1958"/>
      <c r="P27" s="1958"/>
      <c r="Q27" s="1958"/>
      <c r="R27" s="1958"/>
      <c r="S27" s="1958"/>
      <c r="T27" s="1958"/>
      <c r="U27" s="1958"/>
      <c r="V27" s="1958"/>
      <c r="W27" s="1958"/>
      <c r="X27" s="1958"/>
    </row>
    <row r="28" spans="1:24" ht="50.1" customHeight="1">
      <c r="A28" s="1957" t="s">
        <v>3174</v>
      </c>
      <c r="B28" s="1957"/>
      <c r="C28" s="1957"/>
      <c r="D28" s="1957"/>
      <c r="E28" s="1957"/>
      <c r="F28" s="1957"/>
      <c r="G28" s="1957"/>
      <c r="H28" s="1958" t="str">
        <f>cst_wskakunin_BUILD__address</f>
        <v/>
      </c>
      <c r="I28" s="1958"/>
      <c r="J28" s="1958"/>
      <c r="K28" s="1958"/>
      <c r="L28" s="1958"/>
      <c r="M28" s="1958"/>
      <c r="N28" s="1958"/>
      <c r="O28" s="1958"/>
      <c r="P28" s="1958"/>
      <c r="Q28" s="1958"/>
      <c r="R28" s="1958"/>
      <c r="S28" s="1958"/>
      <c r="T28" s="1958"/>
      <c r="U28" s="1958"/>
      <c r="V28" s="1958"/>
      <c r="W28" s="1958"/>
      <c r="X28" s="1958"/>
    </row>
    <row r="29" spans="1:24" ht="24.95" customHeight="1">
      <c r="A29" s="1955" t="s">
        <v>3460</v>
      </c>
      <c r="B29" s="1955"/>
      <c r="C29" s="1955"/>
      <c r="D29" s="1955"/>
      <c r="E29" s="1955"/>
      <c r="F29" s="1955"/>
      <c r="G29" s="1955"/>
      <c r="H29" s="847"/>
      <c r="I29" s="848" t="s">
        <v>374</v>
      </c>
      <c r="J29" s="1928" t="str">
        <f>IF(目次・入力シート!BK31="","「目次･入力シート」に入力してください",目次・入力シート!BK31)</f>
        <v>「目次･入力シート」に入力してください</v>
      </c>
      <c r="K29" s="1928"/>
      <c r="L29" s="1928"/>
      <c r="M29" s="1928"/>
      <c r="N29" s="1928"/>
      <c r="O29" s="849" t="s">
        <v>375</v>
      </c>
      <c r="P29" s="830"/>
      <c r="Q29" s="1929" t="str">
        <f>IF(目次・入力シート!BJ33="","「目次･入力シート」に入力してください",目次・入力シート!BJ33)</f>
        <v>「目次･入力シート」に入力してください</v>
      </c>
      <c r="R29" s="1929"/>
      <c r="S29" s="1929"/>
      <c r="T29" s="1929"/>
      <c r="U29" s="1929"/>
      <c r="V29" s="1929"/>
      <c r="W29" s="1929"/>
      <c r="X29" s="850"/>
    </row>
    <row r="30" spans="1:24" ht="24.95" customHeight="1">
      <c r="A30" s="1957" t="s">
        <v>3461</v>
      </c>
      <c r="B30" s="1957"/>
      <c r="C30" s="1957"/>
      <c r="D30" s="1957"/>
      <c r="E30" s="1957"/>
      <c r="F30" s="1957"/>
      <c r="G30" s="1957"/>
      <c r="H30" s="847"/>
      <c r="I30" s="1929" t="str">
        <f>IF(目次・入力シート!BJ27="","「目次･入力シート」に入力してください",目次・入力シート!BJ27)</f>
        <v>「目次･入力シート」に入力してください</v>
      </c>
      <c r="J30" s="1929"/>
      <c r="K30" s="1929"/>
      <c r="L30" s="1929"/>
      <c r="M30" s="1929"/>
      <c r="N30" s="1929"/>
      <c r="O30" s="1929"/>
      <c r="P30" s="830"/>
      <c r="Q30" s="830"/>
      <c r="R30" s="830"/>
      <c r="S30" s="830"/>
      <c r="T30" s="830"/>
      <c r="U30" s="830"/>
      <c r="V30" s="830"/>
      <c r="W30" s="830"/>
      <c r="X30" s="851"/>
    </row>
    <row r="31" spans="1:24" ht="24.95" customHeight="1">
      <c r="A31" s="1957" t="s">
        <v>3462</v>
      </c>
      <c r="B31" s="1957"/>
      <c r="C31" s="1957"/>
      <c r="D31" s="1957"/>
      <c r="E31" s="1957"/>
      <c r="F31" s="1957"/>
      <c r="G31" s="1957"/>
      <c r="H31" s="1933" t="str">
        <f ca="1">cst_wskakunin_KENSA_YUKA_MENSEKI_select</f>
        <v/>
      </c>
      <c r="I31" s="1933"/>
      <c r="J31" s="1933"/>
      <c r="K31" s="1933"/>
      <c r="L31" s="852" t="s">
        <v>3146</v>
      </c>
      <c r="M31" s="852"/>
      <c r="N31" s="852"/>
      <c r="O31" s="852"/>
      <c r="P31" s="852"/>
      <c r="Q31" s="852"/>
      <c r="R31" s="852"/>
      <c r="S31" s="852"/>
      <c r="T31" s="852"/>
      <c r="U31" s="852"/>
      <c r="V31" s="852"/>
      <c r="W31" s="852"/>
      <c r="X31" s="851"/>
    </row>
    <row r="32" spans="1:24" ht="20.100000000000001" customHeight="1">
      <c r="A32" s="1963" t="s">
        <v>3463</v>
      </c>
      <c r="B32" s="1964"/>
      <c r="C32" s="1964"/>
      <c r="D32" s="1964"/>
      <c r="E32" s="1964"/>
      <c r="F32" s="1964"/>
      <c r="G32" s="1965"/>
      <c r="H32" s="1669" t="s">
        <v>376</v>
      </c>
      <c r="I32" s="1670"/>
      <c r="J32" s="1670"/>
      <c r="K32" s="1670"/>
      <c r="L32" s="1670"/>
      <c r="M32" s="1670"/>
      <c r="N32" s="1670"/>
      <c r="O32" s="1670"/>
      <c r="P32" s="1670"/>
      <c r="Q32" s="573" t="s">
        <v>3181</v>
      </c>
      <c r="R32" s="573"/>
      <c r="S32" s="573"/>
      <c r="T32" s="573"/>
      <c r="U32" s="573"/>
      <c r="V32" s="573"/>
      <c r="W32" s="573"/>
      <c r="X32" s="574"/>
    </row>
    <row r="33" spans="1:24" ht="20.100000000000001" customHeight="1">
      <c r="A33" s="853"/>
      <c r="B33" s="784"/>
      <c r="C33" s="784"/>
      <c r="D33" s="784"/>
      <c r="E33" s="784"/>
      <c r="F33" s="784"/>
      <c r="G33" s="854"/>
      <c r="H33" s="578"/>
      <c r="I33" s="578" t="s">
        <v>401</v>
      </c>
      <c r="J33" s="579"/>
      <c r="K33" s="578" t="s">
        <v>3182</v>
      </c>
      <c r="L33" s="578"/>
      <c r="M33" s="579"/>
      <c r="N33" s="578" t="s">
        <v>3183</v>
      </c>
      <c r="O33" s="578"/>
      <c r="P33" s="547"/>
      <c r="Q33" s="579"/>
      <c r="R33" s="578" t="s">
        <v>3184</v>
      </c>
      <c r="S33" s="578"/>
      <c r="T33" s="579"/>
      <c r="U33" s="578" t="s">
        <v>3185</v>
      </c>
      <c r="V33" s="547"/>
      <c r="W33" s="578"/>
      <c r="X33" s="580" t="s">
        <v>6</v>
      </c>
    </row>
    <row r="34" spans="1:24" ht="24.95" customHeight="1">
      <c r="A34" s="1959" t="s">
        <v>3186</v>
      </c>
      <c r="B34" s="1959"/>
      <c r="C34" s="1959"/>
      <c r="D34" s="1959"/>
      <c r="E34" s="1959"/>
      <c r="F34" s="1959"/>
      <c r="G34" s="1959"/>
      <c r="H34" s="1960"/>
      <c r="I34" s="1960"/>
      <c r="J34" s="1960"/>
      <c r="K34" s="1960"/>
      <c r="L34" s="1960"/>
      <c r="M34" s="830" t="s">
        <v>3187</v>
      </c>
      <c r="N34" s="830"/>
      <c r="O34" s="830"/>
      <c r="P34" s="830"/>
      <c r="Q34" s="830"/>
      <c r="R34" s="830"/>
      <c r="S34" s="830"/>
      <c r="T34" s="830"/>
      <c r="U34" s="830"/>
      <c r="V34" s="830"/>
      <c r="W34" s="830"/>
      <c r="X34" s="855"/>
    </row>
    <row r="35" spans="1:24" ht="13.5">
      <c r="A35" s="856"/>
      <c r="B35" s="856"/>
      <c r="C35" s="856"/>
      <c r="D35" s="856"/>
      <c r="E35" s="856"/>
      <c r="F35" s="856"/>
      <c r="G35" s="856"/>
      <c r="H35" s="733"/>
      <c r="I35" s="733"/>
      <c r="J35" s="733"/>
      <c r="K35" s="733"/>
      <c r="L35" s="733"/>
    </row>
    <row r="36" spans="1:24" ht="13.5">
      <c r="A36" s="1961" t="s">
        <v>3188</v>
      </c>
      <c r="B36" s="1961"/>
      <c r="C36" s="1961"/>
      <c r="D36" s="1961"/>
      <c r="E36" s="1961"/>
      <c r="F36" s="1961"/>
      <c r="G36" s="1961"/>
      <c r="H36" s="1961"/>
      <c r="I36" s="1961"/>
      <c r="J36" s="1961"/>
      <c r="K36" s="1961"/>
      <c r="L36" s="1961"/>
      <c r="M36" s="1961"/>
      <c r="N36" s="1961"/>
      <c r="O36" s="1961"/>
      <c r="P36" s="1961"/>
      <c r="Q36" s="1961"/>
      <c r="R36" s="1961"/>
      <c r="S36" s="1961"/>
      <c r="T36" s="1961"/>
      <c r="U36" s="1961"/>
      <c r="V36" s="1961"/>
      <c r="W36" s="1961"/>
      <c r="X36" s="1961"/>
    </row>
    <row r="47" spans="1:24" ht="13.5">
      <c r="A47" s="1962" t="s">
        <v>3464</v>
      </c>
      <c r="B47" s="1962"/>
      <c r="C47" s="1962"/>
      <c r="D47" s="1962"/>
      <c r="E47" s="1962"/>
      <c r="F47" s="1962"/>
      <c r="G47" s="1962"/>
      <c r="H47" s="1962"/>
      <c r="I47" s="1962"/>
      <c r="J47" s="1962"/>
      <c r="K47" s="1962"/>
      <c r="L47" s="1962"/>
      <c r="M47" s="1962"/>
      <c r="N47" s="1962"/>
      <c r="O47" s="1962"/>
      <c r="P47" s="1962"/>
      <c r="Q47" s="1962"/>
      <c r="R47" s="1962"/>
      <c r="S47" s="1962"/>
      <c r="T47" s="1962"/>
      <c r="U47" s="1962"/>
      <c r="V47" s="1962"/>
      <c r="W47" s="1962"/>
      <c r="X47" s="1962"/>
    </row>
  </sheetData>
  <mergeCells count="24">
    <mergeCell ref="A34:G34"/>
    <mergeCell ref="H34:L34"/>
    <mergeCell ref="A36:X36"/>
    <mergeCell ref="A47:X47"/>
    <mergeCell ref="A30:G30"/>
    <mergeCell ref="I30:O30"/>
    <mergeCell ref="A31:G31"/>
    <mergeCell ref="H31:K31"/>
    <mergeCell ref="A32:G32"/>
    <mergeCell ref="H32:P32"/>
    <mergeCell ref="A29:G29"/>
    <mergeCell ref="J29:N29"/>
    <mergeCell ref="Q29:W29"/>
    <mergeCell ref="A4:X5"/>
    <mergeCell ref="Q8:R8"/>
    <mergeCell ref="Q15:W16"/>
    <mergeCell ref="Q17:W18"/>
    <mergeCell ref="Q19:W20"/>
    <mergeCell ref="Q21:W22"/>
    <mergeCell ref="Q23:W24"/>
    <mergeCell ref="A27:G27"/>
    <mergeCell ref="H27:X27"/>
    <mergeCell ref="A28:G28"/>
    <mergeCell ref="H28:X28"/>
  </mergeCells>
  <phoneticPr fontId="139"/>
  <dataValidations count="2">
    <dataValidation allowBlank="1" showInputMessage="1" showErrorMessage="1" sqref="S8 S65544 S131080 S196616 S262152 S327688 S393224 S458760 S524296 S589832 S655368 S720904 S786440 S851976 S917512 S983048 U8 U65544 U131080 U196616 U262152 U327688 U393224 U458760 U524296 U589832 U655368 U720904 U786440 U851976 U917512 U983048 W8 W65544 W131080 W196616 W262152 W327688 W393224 W458760 W524296 W589832 W655368 W720904 W786440 W851976 W917512 W983048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1E00-000000000000}"/>
    <dataValidation type="list" allowBlank="1" showInputMessage="1" showErrorMessage="1" sqref="H32:P32" xr:uid="{00000000-0002-0000-1E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78"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79" r:id="rId6" name="Check Box 3">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80" r:id="rId7" name="Check Box 4">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81" r:id="rId8" name="Check Box 5">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50182" r:id="rId9" name="Check Box 6">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1967" t="s">
        <v>2818</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68" t="s">
        <v>3727</v>
      </c>
      <c r="R8" s="1968"/>
      <c r="S8" s="1968"/>
      <c r="T8" s="1968"/>
      <c r="U8" s="1968"/>
      <c r="V8" s="1968"/>
      <c r="W8" s="1968"/>
      <c r="X8" s="196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c r="X16" s="869"/>
    </row>
    <row r="17" spans="1:24">
      <c r="Q17" s="1966" t="str">
        <f>cst_wskakunin_owner2_JIMU_NAME</f>
        <v/>
      </c>
      <c r="R17" s="1966"/>
      <c r="S17" s="1966"/>
      <c r="T17" s="1966"/>
      <c r="U17" s="1966"/>
      <c r="V17" s="1966"/>
      <c r="W17" s="1966"/>
      <c r="X17" s="869"/>
    </row>
    <row r="18" spans="1:24">
      <c r="Q18" s="1966" t="str">
        <f>cst_wskakunin_owner2__space2</f>
        <v/>
      </c>
      <c r="R18" s="1966"/>
      <c r="S18" s="1966"/>
      <c r="T18" s="1966"/>
      <c r="U18" s="1966"/>
      <c r="V18" s="1966"/>
      <c r="W18" s="1966"/>
      <c r="X18" s="870"/>
    </row>
    <row r="19" spans="1:24">
      <c r="Q19" s="1966" t="str">
        <f>cst_wskakunin_owner3_JIMU_NAME</f>
        <v/>
      </c>
      <c r="R19" s="1966"/>
      <c r="S19" s="1966"/>
      <c r="T19" s="1966"/>
      <c r="U19" s="1966"/>
      <c r="V19" s="1966"/>
      <c r="W19" s="1966"/>
      <c r="X19" s="870"/>
    </row>
    <row r="20" spans="1:24">
      <c r="Q20" s="1966" t="str">
        <f>cst_wskakunin_owner3__space2</f>
        <v/>
      </c>
      <c r="R20" s="1966"/>
      <c r="S20" s="1966"/>
      <c r="T20" s="1966"/>
      <c r="U20" s="1966"/>
      <c r="V20" s="1966"/>
      <c r="W20" s="1966"/>
      <c r="X20" s="870"/>
    </row>
    <row r="22" spans="1:24">
      <c r="B22" s="1977" t="str">
        <f>cst_wskakunin_SHINSEI_DATE</f>
        <v/>
      </c>
      <c r="C22" s="1977"/>
      <c r="D22" s="1977"/>
      <c r="E22" s="1977"/>
      <c r="F22" s="1977"/>
      <c r="G22" s="1977"/>
      <c r="H22" s="1977"/>
      <c r="I22" s="857" t="s">
        <v>3469</v>
      </c>
    </row>
    <row r="23" spans="1:24">
      <c r="A23" s="857" t="s">
        <v>3470</v>
      </c>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1" t="s">
        <v>3471</v>
      </c>
      <c r="C29" s="1971"/>
      <c r="D29" s="1971"/>
      <c r="E29" s="1971"/>
      <c r="F29" s="1971"/>
      <c r="G29" s="1971"/>
      <c r="H29" s="1971"/>
      <c r="J29" s="1977" t="str">
        <f>cst_wskakunin_SHINSEI_DATE</f>
        <v/>
      </c>
      <c r="K29" s="1977"/>
      <c r="L29" s="1977"/>
      <c r="M29" s="1977"/>
      <c r="N29" s="1977"/>
      <c r="O29" s="1977"/>
      <c r="P29" s="1977"/>
      <c r="Q29" s="1977"/>
    </row>
    <row r="32" spans="1:24">
      <c r="B32" s="1972" t="s">
        <v>3472</v>
      </c>
      <c r="C32" s="1972"/>
      <c r="D32" s="1972"/>
      <c r="E32" s="1972"/>
      <c r="F32" s="1972"/>
      <c r="G32" s="1972"/>
      <c r="H32" s="1972"/>
      <c r="J32" s="871" t="s">
        <v>374</v>
      </c>
      <c r="K32" s="1973"/>
      <c r="L32" s="1973"/>
      <c r="M32" s="1973"/>
      <c r="N32" s="1973"/>
      <c r="O32" s="1973"/>
      <c r="P32" s="1973"/>
      <c r="Q32" s="867" t="s">
        <v>375</v>
      </c>
    </row>
    <row r="33" spans="1:24">
      <c r="B33" s="872"/>
    </row>
    <row r="35" spans="1:24">
      <c r="B35" s="1971" t="s">
        <v>3473</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68" t="s">
        <v>3727</v>
      </c>
      <c r="P52" s="1968"/>
      <c r="Q52" s="1968"/>
      <c r="R52" s="1968"/>
      <c r="S52" s="1968"/>
      <c r="T52" s="1968"/>
      <c r="U52" s="1968"/>
      <c r="V52" s="196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O52:V52"/>
    <mergeCell ref="Q8:X8"/>
    <mergeCell ref="F60:W61"/>
    <mergeCell ref="Q19:W19"/>
    <mergeCell ref="Q20:W20"/>
    <mergeCell ref="A26:X26"/>
    <mergeCell ref="B29:H29"/>
    <mergeCell ref="B32:H32"/>
    <mergeCell ref="K32:P32"/>
    <mergeCell ref="B35:H35"/>
    <mergeCell ref="J35:W37"/>
    <mergeCell ref="A40:X41"/>
    <mergeCell ref="F58:W58"/>
    <mergeCell ref="F59:W59"/>
    <mergeCell ref="B22:H22"/>
    <mergeCell ref="J29:Q29"/>
    <mergeCell ref="Q18:W18"/>
    <mergeCell ref="A4:X5"/>
    <mergeCell ref="Q15:W15"/>
    <mergeCell ref="Q16:W16"/>
    <mergeCell ref="Q17:W17"/>
  </mergeCells>
  <phoneticPr fontId="139"/>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disablePrompts="1" count="1">
        <x14:dataValidation imeMode="halfAlpha" allowBlank="1" showInputMessage="1" showErrorMessage="1" xr:uid="{00000000-0002-0000-19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1967" t="s">
        <v>2818</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68" t="s">
        <v>3727</v>
      </c>
      <c r="R8" s="1968"/>
      <c r="S8" s="1968"/>
      <c r="T8" s="1968"/>
      <c r="U8" s="1968"/>
      <c r="V8" s="1968"/>
      <c r="W8" s="1968"/>
      <c r="X8" s="196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c r="X16" s="869"/>
    </row>
    <row r="17" spans="1:24">
      <c r="Q17" s="1966" t="str">
        <f>cst_wskakunin_owner2_JIMU_NAME</f>
        <v/>
      </c>
      <c r="R17" s="1966"/>
      <c r="S17" s="1966"/>
      <c r="T17" s="1966"/>
      <c r="U17" s="1966"/>
      <c r="V17" s="1966"/>
      <c r="W17" s="1966"/>
      <c r="X17" s="869"/>
    </row>
    <row r="18" spans="1:24">
      <c r="Q18" s="1966" t="str">
        <f>cst_wskakunin_owner2__space2</f>
        <v/>
      </c>
      <c r="R18" s="1966"/>
      <c r="S18" s="1966"/>
      <c r="T18" s="1966"/>
      <c r="U18" s="1966"/>
      <c r="V18" s="1966"/>
      <c r="W18" s="1966"/>
      <c r="X18" s="870"/>
    </row>
    <row r="19" spans="1:24">
      <c r="Q19" s="1966" t="str">
        <f>cst_wskakunin_owner3_JIMU_NAME</f>
        <v/>
      </c>
      <c r="R19" s="1966"/>
      <c r="S19" s="1966"/>
      <c r="T19" s="1966"/>
      <c r="U19" s="1966"/>
      <c r="V19" s="1966"/>
      <c r="W19" s="1966"/>
      <c r="X19" s="870"/>
    </row>
    <row r="20" spans="1:24">
      <c r="Q20" s="1966" t="str">
        <f>cst_wskakunin_owner3__space2</f>
        <v/>
      </c>
      <c r="R20" s="1966"/>
      <c r="S20" s="1966"/>
      <c r="T20" s="1966"/>
      <c r="U20" s="1966"/>
      <c r="V20" s="1966"/>
      <c r="W20" s="1966"/>
      <c r="X20" s="870"/>
    </row>
    <row r="22" spans="1:24">
      <c r="B22" s="1977" t="str">
        <f>cst_wskakunin_SHINSEI_DATE</f>
        <v/>
      </c>
      <c r="C22" s="1977"/>
      <c r="D22" s="1977"/>
      <c r="E22" s="1977"/>
      <c r="F22" s="1977"/>
      <c r="G22" s="1977"/>
      <c r="H22" s="1977"/>
      <c r="I22" s="857" t="s">
        <v>3469</v>
      </c>
    </row>
    <row r="23" spans="1:24">
      <c r="A23" s="857" t="s">
        <v>3470</v>
      </c>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1" t="s">
        <v>3471</v>
      </c>
      <c r="C29" s="1971"/>
      <c r="D29" s="1971"/>
      <c r="E29" s="1971"/>
      <c r="F29" s="1971"/>
      <c r="G29" s="1971"/>
      <c r="H29" s="1971"/>
      <c r="J29" s="1977" t="str">
        <f>cst_wskakunin_SHINSEI_DATE</f>
        <v/>
      </c>
      <c r="K29" s="1977"/>
      <c r="L29" s="1977"/>
      <c r="M29" s="1977"/>
      <c r="N29" s="1977"/>
      <c r="O29" s="1977"/>
      <c r="P29" s="1977"/>
      <c r="Q29" s="1977"/>
    </row>
    <row r="32" spans="1:24">
      <c r="B32" s="1972" t="s">
        <v>3472</v>
      </c>
      <c r="C32" s="1972"/>
      <c r="D32" s="1972"/>
      <c r="E32" s="1972"/>
      <c r="F32" s="1972"/>
      <c r="G32" s="1972"/>
      <c r="H32" s="1972"/>
      <c r="J32" s="871" t="s">
        <v>374</v>
      </c>
      <c r="K32" s="1973"/>
      <c r="L32" s="1973"/>
      <c r="M32" s="1973"/>
      <c r="N32" s="1973"/>
      <c r="O32" s="1973"/>
      <c r="P32" s="1973"/>
      <c r="Q32" s="867" t="s">
        <v>375</v>
      </c>
    </row>
    <row r="33" spans="1:24">
      <c r="B33" s="872"/>
    </row>
    <row r="35" spans="1:24">
      <c r="B35" s="1971" t="s">
        <v>3473</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68" t="s">
        <v>3727</v>
      </c>
      <c r="P52" s="1968"/>
      <c r="Q52" s="1968"/>
      <c r="R52" s="1968"/>
      <c r="S52" s="1968"/>
      <c r="T52" s="1968"/>
      <c r="U52" s="1968"/>
      <c r="V52" s="196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8:W58"/>
    <mergeCell ref="F59:W59"/>
    <mergeCell ref="F60:W61"/>
    <mergeCell ref="B32:H32"/>
    <mergeCell ref="K32:P32"/>
    <mergeCell ref="B35:H35"/>
    <mergeCell ref="J35:W37"/>
    <mergeCell ref="A40:X41"/>
    <mergeCell ref="O52:V52"/>
    <mergeCell ref="Q19:W19"/>
    <mergeCell ref="Q20:W20"/>
    <mergeCell ref="B22:H22"/>
    <mergeCell ref="A26:X26"/>
    <mergeCell ref="B29:H29"/>
    <mergeCell ref="J29:Q29"/>
    <mergeCell ref="Q18:W18"/>
    <mergeCell ref="A4:X5"/>
    <mergeCell ref="Q8:X8"/>
    <mergeCell ref="Q15:W15"/>
    <mergeCell ref="Q16:W16"/>
    <mergeCell ref="Q17:W17"/>
  </mergeCells>
  <phoneticPr fontId="139"/>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2F3AF6A7-9B5C-4FB7-81E8-5FE379FC86AC}">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1967" t="s">
        <v>2820</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3482</v>
      </c>
      <c r="AJ4" s="865"/>
      <c r="AK4" s="865"/>
      <c r="AL4" s="865"/>
    </row>
    <row r="5" spans="1:38" ht="13.5">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c r="AH5" s="861" t="str">
        <f>HYPERLINK("#A109：X162")</f>
        <v>#A109：X162</v>
      </c>
      <c r="AI5" s="864" t="s">
        <v>3483</v>
      </c>
      <c r="AJ5" s="865"/>
      <c r="AK5" s="865"/>
      <c r="AL5" s="865"/>
    </row>
    <row r="6" spans="1:38" ht="13.5">
      <c r="A6" s="1904" t="s">
        <v>3484</v>
      </c>
      <c r="B6" s="1904"/>
      <c r="C6" s="1904"/>
      <c r="D6" s="1904"/>
      <c r="E6" s="1904"/>
      <c r="F6" s="1904"/>
      <c r="G6" s="1904"/>
      <c r="H6" s="1904"/>
      <c r="I6" s="1904"/>
      <c r="J6" s="1904"/>
      <c r="K6" s="1904"/>
      <c r="L6" s="1904"/>
      <c r="M6" s="1904"/>
      <c r="N6" s="1904"/>
      <c r="O6" s="1904"/>
      <c r="P6" s="1904"/>
      <c r="Q6" s="1904"/>
      <c r="R6" s="1904"/>
      <c r="S6" s="1904"/>
      <c r="T6" s="1904"/>
      <c r="U6" s="1904"/>
      <c r="V6" s="1904"/>
      <c r="W6" s="1904"/>
      <c r="X6" s="1904"/>
      <c r="AH6" s="861" t="str">
        <f>HYPERLINK("#A163：X216")</f>
        <v>#A163：X216</v>
      </c>
      <c r="AI6" s="864" t="s">
        <v>3485</v>
      </c>
      <c r="AJ6" s="865"/>
      <c r="AK6" s="865"/>
      <c r="AL6" s="865"/>
    </row>
    <row r="8" spans="1:38" ht="13.5">
      <c r="Q8" s="1979" t="s">
        <v>3727</v>
      </c>
      <c r="R8" s="1979"/>
      <c r="S8" s="1979"/>
      <c r="T8" s="1979"/>
      <c r="U8" s="1979"/>
      <c r="V8" s="1979"/>
      <c r="W8" s="1979"/>
      <c r="X8" s="1979"/>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1966" t="str">
        <f>cst_wskakunin_owner1_JIMU_NAME</f>
        <v/>
      </c>
      <c r="R13" s="1966"/>
      <c r="S13" s="1966"/>
      <c r="T13" s="1966"/>
      <c r="U13" s="1966"/>
      <c r="V13" s="1966"/>
      <c r="W13" s="1966"/>
    </row>
    <row r="14" spans="1:38" ht="13.5">
      <c r="O14" s="868" t="s">
        <v>3468</v>
      </c>
      <c r="Q14" s="1966" t="str">
        <f>cst_wskakunin_owner1__space2</f>
        <v/>
      </c>
      <c r="R14" s="1966"/>
      <c r="S14" s="1966"/>
      <c r="T14" s="1966"/>
      <c r="U14" s="1966"/>
      <c r="V14" s="1966"/>
      <c r="W14" s="1966"/>
    </row>
    <row r="15" spans="1:38" ht="13.5">
      <c r="Q15" s="1966" t="str">
        <f>cst_wskakunin_owner2_JIMU_NAME</f>
        <v/>
      </c>
      <c r="R15" s="1966"/>
      <c r="S15" s="1966"/>
      <c r="T15" s="1966"/>
      <c r="U15" s="1966"/>
      <c r="V15" s="1966"/>
      <c r="W15" s="1966"/>
      <c r="X15" s="869"/>
    </row>
    <row r="16" spans="1:38" ht="13.5">
      <c r="Q16" s="1966" t="str">
        <f>cst_wskakunin_owner2__space2</f>
        <v/>
      </c>
      <c r="R16" s="1966"/>
      <c r="S16" s="1966"/>
      <c r="T16" s="1966"/>
      <c r="U16" s="1966"/>
      <c r="V16" s="1966"/>
      <c r="W16" s="1966"/>
      <c r="X16" s="869"/>
    </row>
    <row r="17" spans="1:24" ht="13.5">
      <c r="Q17" s="1966" t="str">
        <f>cst_wskakunin_owner3_JIMU_NAME</f>
        <v/>
      </c>
      <c r="R17" s="1966"/>
      <c r="S17" s="1966"/>
      <c r="T17" s="1966"/>
      <c r="U17" s="1966"/>
      <c r="V17" s="1966"/>
      <c r="W17" s="1966"/>
      <c r="X17" s="870"/>
    </row>
    <row r="18" spans="1:24" ht="13.5">
      <c r="Q18" s="1966" t="str">
        <f>cst_wskakunin_owner3__space2</f>
        <v/>
      </c>
      <c r="R18" s="1966"/>
      <c r="S18" s="1966"/>
      <c r="T18" s="1966"/>
      <c r="U18" s="1966"/>
      <c r="V18" s="1966"/>
      <c r="W18" s="1966"/>
      <c r="X18" s="870"/>
    </row>
    <row r="19" spans="1:24" ht="13.5">
      <c r="O19" s="868" t="s">
        <v>3486</v>
      </c>
      <c r="Q19" s="1978"/>
      <c r="R19" s="1978"/>
      <c r="S19" s="1978"/>
      <c r="T19" s="1978"/>
      <c r="U19" s="1978"/>
      <c r="V19" s="1978"/>
      <c r="W19" s="1978"/>
      <c r="X19" s="857" t="s">
        <v>6</v>
      </c>
    </row>
    <row r="20" spans="1:24" ht="13.5">
      <c r="Q20" s="1978"/>
      <c r="R20" s="1978"/>
      <c r="S20" s="1978"/>
      <c r="T20" s="1978"/>
      <c r="U20" s="1978"/>
      <c r="V20" s="1978"/>
      <c r="W20" s="1978"/>
      <c r="X20" s="867" t="str">
        <f>IF(Q20="","","印")</f>
        <v/>
      </c>
    </row>
    <row r="21" spans="1:24" ht="13.5">
      <c r="Q21" s="1978"/>
      <c r="R21" s="1978"/>
      <c r="S21" s="1978"/>
      <c r="T21" s="1978"/>
      <c r="U21" s="1978"/>
      <c r="V21" s="1978"/>
      <c r="W21" s="1978"/>
      <c r="X21" s="867" t="str">
        <f>IF(Q21="","","印")</f>
        <v/>
      </c>
    </row>
    <row r="23" spans="1:24" ht="13.5">
      <c r="A23" s="1974" t="s">
        <v>3487</v>
      </c>
      <c r="B23" s="1974"/>
      <c r="C23" s="1974"/>
      <c r="D23" s="1974"/>
      <c r="E23" s="1974"/>
      <c r="F23" s="1974"/>
      <c r="G23" s="1974"/>
      <c r="H23" s="1974"/>
      <c r="I23" s="1974"/>
      <c r="J23" s="1974"/>
      <c r="K23" s="1974"/>
      <c r="L23" s="1974"/>
      <c r="M23" s="1974"/>
      <c r="N23" s="1974"/>
      <c r="O23" s="1974"/>
      <c r="P23" s="1974"/>
      <c r="Q23" s="1974"/>
      <c r="R23" s="1974"/>
      <c r="S23" s="1974"/>
      <c r="T23" s="1974"/>
      <c r="U23" s="1974"/>
      <c r="V23" s="1974"/>
      <c r="W23" s="1974"/>
      <c r="X23" s="1974"/>
    </row>
    <row r="24" spans="1:24" ht="13.5">
      <c r="A24" s="1974"/>
      <c r="B24" s="1974"/>
      <c r="C24" s="1974"/>
      <c r="D24" s="1974"/>
      <c r="E24" s="1974"/>
      <c r="F24" s="1974"/>
      <c r="G24" s="1974"/>
      <c r="H24" s="1974"/>
      <c r="I24" s="1974"/>
      <c r="J24" s="1974"/>
      <c r="K24" s="1974"/>
      <c r="L24" s="1974"/>
      <c r="M24" s="1974"/>
      <c r="N24" s="1974"/>
      <c r="O24" s="1974"/>
      <c r="P24" s="1974"/>
      <c r="Q24" s="1974"/>
      <c r="R24" s="1974"/>
      <c r="S24" s="1974"/>
      <c r="T24" s="1974"/>
      <c r="U24" s="1974"/>
      <c r="V24" s="1974"/>
      <c r="W24" s="1974"/>
      <c r="X24" s="1974"/>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1971" t="s">
        <v>3490</v>
      </c>
      <c r="C30" s="1971"/>
      <c r="D30" s="1971"/>
      <c r="E30" s="1971"/>
      <c r="F30" s="1971"/>
      <c r="G30" s="1971"/>
      <c r="H30" s="1971"/>
      <c r="J30" s="1981"/>
      <c r="K30" s="1981"/>
      <c r="L30" s="1981"/>
      <c r="M30" s="1981"/>
      <c r="N30" s="1981"/>
      <c r="O30" s="1981"/>
      <c r="P30" s="1981"/>
      <c r="Q30" s="1981"/>
    </row>
    <row r="31" spans="1:24" ht="13.5">
      <c r="B31" s="857" t="s">
        <v>3491</v>
      </c>
      <c r="J31" s="871" t="s">
        <v>374</v>
      </c>
      <c r="K31" s="1982"/>
      <c r="L31" s="1982"/>
      <c r="M31" s="1982"/>
      <c r="N31" s="1982"/>
      <c r="O31" s="1982"/>
      <c r="P31" s="1982"/>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1983" t="str">
        <f>cst_wskakunin_BUILD__address</f>
        <v/>
      </c>
      <c r="C33" s="1983"/>
      <c r="D33" s="1983"/>
      <c r="E33" s="1983"/>
      <c r="F33" s="1983"/>
      <c r="G33" s="1983"/>
      <c r="H33" s="1983"/>
      <c r="I33" s="1983"/>
      <c r="J33" s="1983"/>
      <c r="K33" s="1983"/>
      <c r="L33" s="1983"/>
      <c r="M33" s="1983"/>
      <c r="N33" s="1983"/>
      <c r="O33" s="1983"/>
      <c r="P33" s="1983"/>
      <c r="Q33" s="1983"/>
      <c r="R33" s="1983"/>
      <c r="S33" s="1983"/>
      <c r="T33" s="1983"/>
      <c r="U33" s="1983"/>
      <c r="V33" s="1983"/>
      <c r="W33" s="1983"/>
    </row>
    <row r="34" spans="1:24" ht="13.5">
      <c r="A34" s="872"/>
      <c r="B34" s="1983"/>
      <c r="C34" s="1983"/>
      <c r="D34" s="1983"/>
      <c r="E34" s="1983"/>
      <c r="F34" s="1983"/>
      <c r="G34" s="1983"/>
      <c r="H34" s="1983"/>
      <c r="I34" s="1983"/>
      <c r="J34" s="1983"/>
      <c r="K34" s="1983"/>
      <c r="L34" s="1983"/>
      <c r="M34" s="1983"/>
      <c r="N34" s="1983"/>
      <c r="O34" s="1983"/>
      <c r="P34" s="1983"/>
      <c r="Q34" s="1983"/>
      <c r="R34" s="1983"/>
      <c r="S34" s="1983"/>
      <c r="T34" s="1983"/>
      <c r="U34" s="1983"/>
      <c r="V34" s="1983"/>
      <c r="W34" s="1983"/>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1984"/>
      <c r="G41" s="1984"/>
      <c r="H41" s="1984"/>
      <c r="I41" s="1984"/>
      <c r="J41" s="1984"/>
      <c r="K41" s="1984"/>
      <c r="L41" s="1984"/>
      <c r="M41" s="1984"/>
      <c r="N41" s="1984"/>
      <c r="O41" s="1984"/>
      <c r="P41" s="1984"/>
      <c r="Q41" s="1984"/>
      <c r="R41" s="1984"/>
      <c r="S41" s="1984"/>
      <c r="T41" s="1984"/>
      <c r="U41" s="1984"/>
      <c r="V41" s="1984"/>
      <c r="W41" s="1984"/>
      <c r="X41" s="872"/>
    </row>
    <row r="42" spans="1:24" ht="13.5">
      <c r="A42" s="872"/>
      <c r="B42" s="872"/>
      <c r="C42" s="872"/>
      <c r="D42" s="872"/>
      <c r="E42" s="872"/>
      <c r="F42" s="1985"/>
      <c r="G42" s="1985"/>
      <c r="H42" s="1985"/>
      <c r="I42" s="1985"/>
      <c r="J42" s="1985"/>
      <c r="K42" s="1985"/>
      <c r="L42" s="1985"/>
      <c r="M42" s="1985"/>
      <c r="N42" s="1985"/>
      <c r="O42" s="1985"/>
      <c r="P42" s="1985"/>
      <c r="Q42" s="1985"/>
      <c r="R42" s="1985"/>
      <c r="S42" s="1985"/>
      <c r="T42" s="1985"/>
      <c r="U42" s="1985"/>
      <c r="V42" s="1985"/>
      <c r="W42" s="1985"/>
      <c r="X42" s="872"/>
    </row>
    <row r="43" spans="1:24" ht="13.5">
      <c r="A43" s="872"/>
      <c r="B43" s="932"/>
      <c r="C43" s="1972" t="s">
        <v>3500</v>
      </c>
      <c r="D43" s="1972"/>
      <c r="E43" s="1972"/>
      <c r="F43" s="1972"/>
      <c r="G43" s="1972"/>
      <c r="H43" s="1972"/>
      <c r="I43" s="1972"/>
      <c r="J43" s="1972"/>
      <c r="K43" s="1972"/>
      <c r="L43" s="1972"/>
      <c r="M43" s="1972"/>
      <c r="N43" s="1972"/>
      <c r="O43" s="1972"/>
      <c r="P43" s="1972"/>
      <c r="Q43" s="1972"/>
      <c r="R43" s="1972"/>
      <c r="S43" s="1972"/>
      <c r="T43" s="1972"/>
      <c r="U43" s="1972"/>
      <c r="V43" s="1972"/>
      <c r="W43" s="1972"/>
      <c r="X43" s="872"/>
    </row>
    <row r="44" spans="1:24" ht="13.5">
      <c r="C44" s="1978"/>
      <c r="D44" s="1978"/>
      <c r="E44" s="1978"/>
      <c r="F44" s="1978"/>
      <c r="G44" s="1978"/>
      <c r="H44" s="1978"/>
      <c r="I44" s="1978"/>
      <c r="J44" s="1978"/>
      <c r="K44" s="1978"/>
      <c r="L44" s="1978"/>
      <c r="M44" s="1978"/>
      <c r="N44" s="1978"/>
      <c r="O44" s="1978"/>
      <c r="P44" s="1978"/>
      <c r="Q44" s="1978"/>
      <c r="R44" s="1978"/>
      <c r="S44" s="1978"/>
      <c r="T44" s="1978"/>
      <c r="U44" s="1978"/>
      <c r="V44" s="1978"/>
      <c r="W44" s="1978"/>
    </row>
    <row r="45" spans="1:24" ht="13.5">
      <c r="C45" s="1986"/>
      <c r="D45" s="1986"/>
      <c r="E45" s="1986"/>
      <c r="F45" s="1986"/>
      <c r="G45" s="1986"/>
      <c r="H45" s="1986"/>
      <c r="I45" s="1986"/>
      <c r="J45" s="1986"/>
      <c r="K45" s="1986"/>
      <c r="L45" s="1986"/>
      <c r="M45" s="1986"/>
      <c r="N45" s="1986"/>
      <c r="O45" s="1986"/>
      <c r="P45" s="1986"/>
      <c r="Q45" s="1986"/>
      <c r="R45" s="1986"/>
      <c r="S45" s="1986"/>
      <c r="T45" s="1986"/>
      <c r="U45" s="1986"/>
      <c r="V45" s="1986"/>
      <c r="W45" s="1986"/>
    </row>
    <row r="46" spans="1:24" ht="15" customHeight="1">
      <c r="A46" s="857" t="s">
        <v>3662</v>
      </c>
    </row>
    <row r="47" spans="1:24" ht="15" customHeight="1">
      <c r="C47" s="1978"/>
      <c r="D47" s="1978"/>
      <c r="E47" s="1978"/>
      <c r="F47" s="1978"/>
      <c r="G47" s="1978"/>
      <c r="H47" s="1978"/>
      <c r="I47" s="1978"/>
      <c r="J47" s="1978"/>
      <c r="K47" s="1978"/>
      <c r="L47" s="1978"/>
      <c r="M47" s="1978"/>
      <c r="N47" s="1978"/>
      <c r="O47" s="1978"/>
      <c r="P47" s="1978"/>
      <c r="Q47" s="1978"/>
      <c r="R47" s="1978"/>
      <c r="S47" s="1978"/>
      <c r="T47" s="1978"/>
      <c r="U47" s="1978"/>
      <c r="V47" s="1978"/>
      <c r="W47" s="1978"/>
    </row>
    <row r="48" spans="1:24" ht="15" customHeight="1">
      <c r="C48" s="1986"/>
      <c r="D48" s="1986"/>
      <c r="E48" s="1986"/>
      <c r="F48" s="1986"/>
      <c r="G48" s="1986"/>
      <c r="H48" s="1986"/>
      <c r="I48" s="1986"/>
      <c r="J48" s="1986"/>
      <c r="K48" s="1986"/>
      <c r="L48" s="1986"/>
      <c r="M48" s="1986"/>
      <c r="N48" s="1986"/>
      <c r="O48" s="1986"/>
      <c r="P48" s="1986"/>
      <c r="Q48" s="1986"/>
      <c r="R48" s="1986"/>
      <c r="S48" s="1986"/>
      <c r="T48" s="1986"/>
      <c r="U48" s="1986"/>
      <c r="V48" s="1986"/>
      <c r="W48" s="1986"/>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1979" t="s">
        <v>3727</v>
      </c>
      <c r="P52" s="1979"/>
      <c r="Q52" s="1979"/>
      <c r="R52" s="1979"/>
      <c r="S52" s="1979"/>
      <c r="T52" s="1979"/>
      <c r="U52" s="1979"/>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1904" t="s">
        <v>3501</v>
      </c>
      <c r="B55" s="1904"/>
      <c r="C55" s="1904"/>
      <c r="D55" s="1904"/>
      <c r="E55" s="1904"/>
      <c r="F55" s="1904"/>
      <c r="G55" s="1904"/>
      <c r="H55" s="1904"/>
      <c r="I55" s="1904"/>
      <c r="J55" s="1904"/>
      <c r="K55" s="1904"/>
      <c r="L55" s="1904"/>
      <c r="M55" s="1904"/>
      <c r="N55" s="1904"/>
      <c r="O55" s="1904"/>
      <c r="P55" s="1904"/>
      <c r="Q55" s="1904"/>
      <c r="R55" s="1904"/>
      <c r="S55" s="1904"/>
      <c r="T55" s="1904"/>
      <c r="U55" s="1904"/>
      <c r="V55" s="1904"/>
      <c r="W55" s="1904"/>
      <c r="X55" s="1904"/>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1987" t="str">
        <f>IFERROR(PHONETIC(G59),"")</f>
        <v/>
      </c>
      <c r="H58" s="1987"/>
      <c r="I58" s="1987"/>
      <c r="J58" s="1987"/>
      <c r="K58" s="1987"/>
      <c r="L58" s="1987"/>
      <c r="M58" s="1987"/>
      <c r="N58" s="1987"/>
      <c r="O58" s="1987"/>
      <c r="P58" s="1987"/>
      <c r="Q58" s="1987"/>
      <c r="R58" s="1987"/>
      <c r="S58" s="1987"/>
      <c r="T58" s="1987"/>
      <c r="U58" s="1987"/>
      <c r="V58" s="1987"/>
      <c r="W58" s="1987"/>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1980"/>
      <c r="H59" s="1980"/>
      <c r="I59" s="1980"/>
      <c r="J59" s="1980"/>
      <c r="K59" s="1980"/>
      <c r="L59" s="1980"/>
      <c r="M59" s="1980"/>
      <c r="N59" s="1980"/>
      <c r="O59" s="1980"/>
      <c r="P59" s="1980"/>
      <c r="Q59" s="1980"/>
      <c r="R59" s="1980"/>
      <c r="S59" s="1980"/>
      <c r="T59" s="1980"/>
      <c r="U59" s="1980"/>
      <c r="V59" s="1980"/>
      <c r="W59" s="1980"/>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1980"/>
      <c r="H60" s="1980"/>
      <c r="I60" s="1980"/>
      <c r="J60" s="1980"/>
      <c r="K60" s="1980"/>
      <c r="L60" s="1980"/>
      <c r="M60" s="1980"/>
      <c r="N60" s="1980"/>
      <c r="O60" s="1980"/>
      <c r="P60" s="1980"/>
      <c r="Q60" s="1980"/>
      <c r="R60" s="1980"/>
      <c r="S60" s="1980"/>
      <c r="T60" s="1980"/>
      <c r="U60" s="1980"/>
      <c r="V60" s="1980"/>
      <c r="W60" s="1980"/>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1988"/>
      <c r="I61" s="1988"/>
      <c r="J61" s="1988"/>
      <c r="K61" s="1988"/>
      <c r="L61" s="1988"/>
      <c r="M61" s="1988"/>
      <c r="N61" s="1988"/>
      <c r="O61" s="1988"/>
      <c r="P61" s="1988"/>
      <c r="Q61" s="1988"/>
      <c r="R61" s="1988"/>
      <c r="S61" s="1988"/>
      <c r="T61" s="1988"/>
      <c r="U61" s="1988"/>
      <c r="V61" s="1988"/>
      <c r="W61" s="1988"/>
      <c r="X61" s="553"/>
      <c r="AA61" s="553"/>
      <c r="AC61" s="879"/>
      <c r="AH61" s="873"/>
      <c r="AI61" s="873"/>
      <c r="AJ61" s="873"/>
      <c r="AK61" s="873"/>
      <c r="AL61" s="873"/>
    </row>
    <row r="62" spans="1:38" s="554" customFormat="1" ht="13.5">
      <c r="A62" s="553"/>
      <c r="B62" s="553" t="s">
        <v>3407</v>
      </c>
      <c r="C62" s="553"/>
      <c r="D62" s="553"/>
      <c r="E62" s="553"/>
      <c r="F62" s="553"/>
      <c r="G62" s="1980"/>
      <c r="H62" s="1980"/>
      <c r="I62" s="1980"/>
      <c r="J62" s="1980"/>
      <c r="K62" s="1980"/>
      <c r="L62" s="1980"/>
      <c r="M62" s="1980"/>
      <c r="N62" s="1980"/>
      <c r="O62" s="1980"/>
      <c r="P62" s="1980"/>
      <c r="Q62" s="1980"/>
      <c r="R62" s="1980"/>
      <c r="S62" s="1980"/>
      <c r="T62" s="1980"/>
      <c r="U62" s="1980"/>
      <c r="V62" s="1980"/>
      <c r="W62" s="1980"/>
      <c r="X62" s="558"/>
      <c r="AA62" s="553"/>
      <c r="AC62" s="879"/>
      <c r="AH62" s="873"/>
      <c r="AI62" s="873"/>
      <c r="AJ62" s="873"/>
      <c r="AK62" s="873"/>
      <c r="AL62" s="873"/>
    </row>
    <row r="63" spans="1:38" s="554" customFormat="1" ht="13.5">
      <c r="A63" s="553"/>
      <c r="B63" s="553"/>
      <c r="C63" s="553"/>
      <c r="D63" s="553"/>
      <c r="E63" s="553"/>
      <c r="F63" s="553"/>
      <c r="G63" s="1980"/>
      <c r="H63" s="1980"/>
      <c r="I63" s="1980"/>
      <c r="J63" s="1980"/>
      <c r="K63" s="1980"/>
      <c r="L63" s="1980"/>
      <c r="M63" s="1980"/>
      <c r="N63" s="1980"/>
      <c r="O63" s="1980"/>
      <c r="P63" s="1980"/>
      <c r="Q63" s="1980"/>
      <c r="R63" s="1980"/>
      <c r="S63" s="1980"/>
      <c r="T63" s="1980"/>
      <c r="U63" s="1980"/>
      <c r="V63" s="1980"/>
      <c r="W63" s="1980"/>
      <c r="X63" s="558"/>
      <c r="AA63" s="553"/>
      <c r="AC63" s="879"/>
      <c r="AH63" s="873"/>
      <c r="AI63" s="873"/>
      <c r="AJ63" s="873"/>
      <c r="AK63" s="873"/>
      <c r="AL63" s="873"/>
    </row>
    <row r="64" spans="1:38" s="554" customFormat="1" ht="13.5">
      <c r="A64" s="553"/>
      <c r="B64" s="553" t="s">
        <v>555</v>
      </c>
      <c r="C64" s="553"/>
      <c r="D64" s="553"/>
      <c r="E64" s="553"/>
      <c r="F64" s="553"/>
      <c r="G64" s="1989"/>
      <c r="H64" s="1989"/>
      <c r="I64" s="1989"/>
      <c r="J64" s="1989"/>
      <c r="K64" s="1989"/>
      <c r="L64" s="1989"/>
      <c r="M64" s="1989"/>
      <c r="N64" s="1989"/>
      <c r="O64" s="1989"/>
      <c r="P64" s="1989"/>
      <c r="Q64" s="1989"/>
      <c r="R64" s="1989"/>
      <c r="S64" s="1989"/>
      <c r="T64" s="1989"/>
      <c r="U64" s="1989"/>
      <c r="V64" s="1989"/>
      <c r="W64" s="1989"/>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1990"/>
      <c r="H67" s="1990"/>
      <c r="I67" s="880" t="s">
        <v>552</v>
      </c>
      <c r="J67" s="881"/>
      <c r="K67" s="1990"/>
      <c r="L67" s="1990"/>
      <c r="M67" s="1990"/>
      <c r="N67" s="1990"/>
      <c r="O67" s="880" t="s">
        <v>558</v>
      </c>
      <c r="P67" s="881"/>
      <c r="Q67" s="1991"/>
      <c r="R67" s="1991"/>
      <c r="S67" s="1991"/>
      <c r="T67" s="1991"/>
      <c r="U67" s="1991"/>
      <c r="V67" s="1991"/>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1988"/>
      <c r="H68" s="1988"/>
      <c r="I68" s="1988"/>
      <c r="J68" s="1988"/>
      <c r="K68" s="1988"/>
      <c r="L68" s="1988"/>
      <c r="M68" s="1988"/>
      <c r="N68" s="1988"/>
      <c r="O68" s="1988"/>
      <c r="P68" s="1988"/>
      <c r="Q68" s="1988"/>
      <c r="R68" s="1988"/>
      <c r="S68" s="1988"/>
      <c r="T68" s="1988"/>
      <c r="U68" s="1988"/>
      <c r="V68" s="1988"/>
      <c r="W68" s="1988"/>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1990"/>
      <c r="H69" s="1990"/>
      <c r="I69" s="1992" t="s">
        <v>553</v>
      </c>
      <c r="J69" s="1992"/>
      <c r="K69" s="1992"/>
      <c r="L69" s="1990"/>
      <c r="M69" s="1990"/>
      <c r="N69" s="1990"/>
      <c r="O69" s="880" t="s">
        <v>559</v>
      </c>
      <c r="P69" s="881"/>
      <c r="Q69" s="880"/>
      <c r="R69" s="1991"/>
      <c r="S69" s="1991"/>
      <c r="T69" s="1991"/>
      <c r="U69" s="1991"/>
      <c r="V69" s="1991"/>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1988"/>
      <c r="H70" s="1988"/>
      <c r="I70" s="1988"/>
      <c r="J70" s="1988"/>
      <c r="K70" s="1988"/>
      <c r="L70" s="1988"/>
      <c r="M70" s="1988"/>
      <c r="N70" s="1988"/>
      <c r="O70" s="1988"/>
      <c r="P70" s="1988"/>
      <c r="Q70" s="1988"/>
      <c r="R70" s="1988"/>
      <c r="S70" s="1988"/>
      <c r="T70" s="1988"/>
      <c r="U70" s="1988"/>
      <c r="V70" s="1988"/>
      <c r="W70" s="1988"/>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1988"/>
      <c r="I71" s="1988"/>
      <c r="J71" s="1988"/>
      <c r="K71" s="1988"/>
      <c r="L71" s="1988"/>
      <c r="M71" s="1988"/>
      <c r="N71" s="1988"/>
      <c r="O71" s="1988"/>
      <c r="P71" s="1988"/>
      <c r="Q71" s="1988"/>
      <c r="R71" s="1988"/>
      <c r="S71" s="1988"/>
      <c r="T71" s="1988"/>
      <c r="U71" s="1988"/>
      <c r="V71" s="1988"/>
      <c r="W71" s="1988"/>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1980"/>
      <c r="H72" s="1980"/>
      <c r="I72" s="1980"/>
      <c r="J72" s="1980"/>
      <c r="K72" s="1980"/>
      <c r="L72" s="1980"/>
      <c r="M72" s="1980"/>
      <c r="N72" s="1980"/>
      <c r="O72" s="1980"/>
      <c r="P72" s="1980"/>
      <c r="Q72" s="1980"/>
      <c r="R72" s="1980"/>
      <c r="S72" s="1980"/>
      <c r="T72" s="1980"/>
      <c r="U72" s="1980"/>
      <c r="V72" s="1980"/>
      <c r="W72" s="1980"/>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1980"/>
      <c r="H73" s="1980"/>
      <c r="I73" s="1980"/>
      <c r="J73" s="1980"/>
      <c r="K73" s="1980"/>
      <c r="L73" s="1980"/>
      <c r="M73" s="1980"/>
      <c r="N73" s="1980"/>
      <c r="O73" s="1980"/>
      <c r="P73" s="1980"/>
      <c r="Q73" s="1980"/>
      <c r="R73" s="1980"/>
      <c r="S73" s="1980"/>
      <c r="T73" s="1980"/>
      <c r="U73" s="1980"/>
      <c r="V73" s="1980"/>
      <c r="W73" s="1980"/>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1989"/>
      <c r="H74" s="1989"/>
      <c r="I74" s="1989"/>
      <c r="J74" s="1989"/>
      <c r="K74" s="1989"/>
      <c r="L74" s="1989"/>
      <c r="M74" s="1989"/>
      <c r="N74" s="1989"/>
      <c r="O74" s="1989"/>
      <c r="P74" s="1989"/>
      <c r="Q74" s="1989"/>
      <c r="R74" s="1989"/>
      <c r="S74" s="1989"/>
      <c r="T74" s="1989"/>
      <c r="U74" s="1989"/>
      <c r="V74" s="1989"/>
      <c r="W74" s="1989"/>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1990"/>
      <c r="H78" s="1990"/>
      <c r="I78" s="880" t="s">
        <v>552</v>
      </c>
      <c r="J78" s="881"/>
      <c r="K78" s="1990"/>
      <c r="L78" s="1990"/>
      <c r="M78" s="1990"/>
      <c r="N78" s="1990"/>
      <c r="O78" s="880" t="s">
        <v>558</v>
      </c>
      <c r="P78" s="881"/>
      <c r="Q78" s="1991"/>
      <c r="R78" s="1991"/>
      <c r="S78" s="1991"/>
      <c r="T78" s="1991"/>
      <c r="U78" s="1991"/>
      <c r="V78" s="1991"/>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1988"/>
      <c r="H79" s="1988"/>
      <c r="I79" s="1988"/>
      <c r="J79" s="1988"/>
      <c r="K79" s="1988"/>
      <c r="L79" s="1988"/>
      <c r="M79" s="1988"/>
      <c r="N79" s="1988"/>
      <c r="O79" s="1988"/>
      <c r="P79" s="1988"/>
      <c r="Q79" s="1988"/>
      <c r="R79" s="1988"/>
      <c r="S79" s="1988"/>
      <c r="T79" s="1988"/>
      <c r="U79" s="1988"/>
      <c r="V79" s="1988"/>
      <c r="W79" s="1988"/>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1990"/>
      <c r="H80" s="1990"/>
      <c r="I80" s="1992" t="s">
        <v>553</v>
      </c>
      <c r="J80" s="1992"/>
      <c r="K80" s="1992"/>
      <c r="L80" s="1990"/>
      <c r="M80" s="1990"/>
      <c r="N80" s="1990"/>
      <c r="O80" s="880" t="s">
        <v>559</v>
      </c>
      <c r="P80" s="881"/>
      <c r="Q80" s="880"/>
      <c r="R80" s="1991"/>
      <c r="S80" s="1991"/>
      <c r="T80" s="1991"/>
      <c r="U80" s="1991"/>
      <c r="V80" s="1991"/>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1988"/>
      <c r="H81" s="1988"/>
      <c r="I81" s="1988"/>
      <c r="J81" s="1988"/>
      <c r="K81" s="1988"/>
      <c r="L81" s="1988"/>
      <c r="M81" s="1988"/>
      <c r="N81" s="1988"/>
      <c r="O81" s="1988"/>
      <c r="P81" s="1988"/>
      <c r="Q81" s="1988"/>
      <c r="R81" s="1988"/>
      <c r="S81" s="1988"/>
      <c r="T81" s="1988"/>
      <c r="U81" s="1988"/>
      <c r="V81" s="1988"/>
      <c r="W81" s="1988"/>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1988"/>
      <c r="I82" s="1988"/>
      <c r="J82" s="1988"/>
      <c r="K82" s="1988"/>
      <c r="L82" s="1988"/>
      <c r="M82" s="1988"/>
      <c r="N82" s="1988"/>
      <c r="O82" s="1988"/>
      <c r="P82" s="1988"/>
      <c r="Q82" s="1988"/>
      <c r="R82" s="1988"/>
      <c r="S82" s="1988"/>
      <c r="T82" s="1988"/>
      <c r="U82" s="1988"/>
      <c r="V82" s="1988"/>
      <c r="W82" s="1988"/>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1980"/>
      <c r="H83" s="1980"/>
      <c r="I83" s="1980"/>
      <c r="J83" s="1980"/>
      <c r="K83" s="1980"/>
      <c r="L83" s="1980"/>
      <c r="M83" s="1980"/>
      <c r="N83" s="1980"/>
      <c r="O83" s="1980"/>
      <c r="P83" s="1980"/>
      <c r="Q83" s="1980"/>
      <c r="R83" s="1980"/>
      <c r="S83" s="1980"/>
      <c r="T83" s="1980"/>
      <c r="U83" s="1980"/>
      <c r="V83" s="1980"/>
      <c r="W83" s="1980"/>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1980"/>
      <c r="H84" s="1980"/>
      <c r="I84" s="1980"/>
      <c r="J84" s="1980"/>
      <c r="K84" s="1980"/>
      <c r="L84" s="1980"/>
      <c r="M84" s="1980"/>
      <c r="N84" s="1980"/>
      <c r="O84" s="1980"/>
      <c r="P84" s="1980"/>
      <c r="Q84" s="1980"/>
      <c r="R84" s="1980"/>
      <c r="S84" s="1980"/>
      <c r="T84" s="1980"/>
      <c r="U84" s="1980"/>
      <c r="V84" s="1980"/>
      <c r="W84" s="1980"/>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1989"/>
      <c r="H85" s="1989"/>
      <c r="I85" s="1989"/>
      <c r="J85" s="1989"/>
      <c r="K85" s="1989"/>
      <c r="L85" s="1989"/>
      <c r="M85" s="1989"/>
      <c r="N85" s="1989"/>
      <c r="O85" s="1989"/>
      <c r="P85" s="1989"/>
      <c r="Q85" s="1989"/>
      <c r="R85" s="1989"/>
      <c r="S85" s="1989"/>
      <c r="T85" s="1989"/>
      <c r="U85" s="1989"/>
      <c r="V85" s="1989"/>
      <c r="W85" s="1989"/>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1993"/>
      <c r="K86" s="1993"/>
      <c r="L86" s="1993"/>
      <c r="M86" s="1993"/>
      <c r="N86" s="1993"/>
      <c r="O86" s="1993"/>
      <c r="P86" s="1993"/>
      <c r="Q86" s="1993"/>
      <c r="R86" s="1993"/>
      <c r="S86" s="1993"/>
      <c r="T86" s="1993"/>
      <c r="U86" s="1993"/>
      <c r="V86" s="1993"/>
      <c r="W86" s="1993"/>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1990"/>
      <c r="H89" s="1990"/>
      <c r="I89" s="880" t="s">
        <v>552</v>
      </c>
      <c r="J89" s="881"/>
      <c r="K89" s="1990"/>
      <c r="L89" s="1990"/>
      <c r="M89" s="1990"/>
      <c r="N89" s="1990"/>
      <c r="O89" s="880" t="s">
        <v>558</v>
      </c>
      <c r="P89" s="881"/>
      <c r="Q89" s="1991"/>
      <c r="R89" s="1991"/>
      <c r="S89" s="1991"/>
      <c r="T89" s="1991"/>
      <c r="U89" s="1991"/>
      <c r="V89" s="1991"/>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1988"/>
      <c r="H90" s="1988"/>
      <c r="I90" s="1988"/>
      <c r="J90" s="1988"/>
      <c r="K90" s="1988"/>
      <c r="L90" s="1988"/>
      <c r="M90" s="1988"/>
      <c r="N90" s="1988"/>
      <c r="O90" s="1988"/>
      <c r="P90" s="1988"/>
      <c r="Q90" s="1988"/>
      <c r="R90" s="1988"/>
      <c r="S90" s="1988"/>
      <c r="T90" s="1988"/>
      <c r="U90" s="1988"/>
      <c r="V90" s="1988"/>
      <c r="W90" s="1988"/>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1990"/>
      <c r="H91" s="1990"/>
      <c r="I91" s="1992" t="s">
        <v>553</v>
      </c>
      <c r="J91" s="1992"/>
      <c r="K91" s="1992"/>
      <c r="L91" s="1990"/>
      <c r="M91" s="1990"/>
      <c r="N91" s="1990"/>
      <c r="O91" s="880" t="s">
        <v>559</v>
      </c>
      <c r="P91" s="881"/>
      <c r="Q91" s="880"/>
      <c r="R91" s="1991"/>
      <c r="S91" s="1991"/>
      <c r="T91" s="1991"/>
      <c r="U91" s="1991"/>
      <c r="V91" s="1991"/>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1988"/>
      <c r="H92" s="1988"/>
      <c r="I92" s="1988"/>
      <c r="J92" s="1988"/>
      <c r="K92" s="1988"/>
      <c r="L92" s="1988"/>
      <c r="M92" s="1988"/>
      <c r="N92" s="1988"/>
      <c r="O92" s="1988"/>
      <c r="P92" s="1988"/>
      <c r="Q92" s="1988"/>
      <c r="R92" s="1988"/>
      <c r="S92" s="1988"/>
      <c r="T92" s="1988"/>
      <c r="U92" s="1988"/>
      <c r="V92" s="1988"/>
      <c r="W92" s="1988"/>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1988"/>
      <c r="I93" s="1988"/>
      <c r="J93" s="1988"/>
      <c r="K93" s="1988"/>
      <c r="L93" s="1988"/>
      <c r="M93" s="1988"/>
      <c r="N93" s="1988"/>
      <c r="O93" s="1988"/>
      <c r="P93" s="1988"/>
      <c r="Q93" s="1988"/>
      <c r="R93" s="1988"/>
      <c r="S93" s="1988"/>
      <c r="T93" s="1988"/>
      <c r="U93" s="1988"/>
      <c r="V93" s="1988"/>
      <c r="W93" s="1988"/>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1980"/>
      <c r="H94" s="1980"/>
      <c r="I94" s="1980"/>
      <c r="J94" s="1980"/>
      <c r="K94" s="1980"/>
      <c r="L94" s="1980"/>
      <c r="M94" s="1980"/>
      <c r="N94" s="1980"/>
      <c r="O94" s="1980"/>
      <c r="P94" s="1980"/>
      <c r="Q94" s="1980"/>
      <c r="R94" s="1980"/>
      <c r="S94" s="1980"/>
      <c r="T94" s="1980"/>
      <c r="U94" s="1980"/>
      <c r="V94" s="1980"/>
      <c r="W94" s="1980"/>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1980"/>
      <c r="H95" s="1980"/>
      <c r="I95" s="1980"/>
      <c r="J95" s="1980"/>
      <c r="K95" s="1980"/>
      <c r="L95" s="1980"/>
      <c r="M95" s="1980"/>
      <c r="N95" s="1980"/>
      <c r="O95" s="1980"/>
      <c r="P95" s="1980"/>
      <c r="Q95" s="1980"/>
      <c r="R95" s="1980"/>
      <c r="S95" s="1980"/>
      <c r="T95" s="1980"/>
      <c r="U95" s="1980"/>
      <c r="V95" s="1980"/>
      <c r="W95" s="1980"/>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1989"/>
      <c r="H96" s="1989"/>
      <c r="I96" s="1989"/>
      <c r="J96" s="1989"/>
      <c r="K96" s="1989"/>
      <c r="L96" s="1989"/>
      <c r="M96" s="1989"/>
      <c r="N96" s="1989"/>
      <c r="O96" s="1989"/>
      <c r="P96" s="1989"/>
      <c r="Q96" s="1989"/>
      <c r="R96" s="1989"/>
      <c r="S96" s="1989"/>
      <c r="T96" s="1989"/>
      <c r="U96" s="1989"/>
      <c r="V96" s="1989"/>
      <c r="W96" s="1989"/>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1993"/>
      <c r="K97" s="1993"/>
      <c r="L97" s="1993"/>
      <c r="M97" s="1993"/>
      <c r="N97" s="1993"/>
      <c r="O97" s="1993"/>
      <c r="P97" s="1993"/>
      <c r="Q97" s="1993"/>
      <c r="R97" s="1993"/>
      <c r="S97" s="1993"/>
      <c r="T97" s="1993"/>
      <c r="U97" s="1993"/>
      <c r="V97" s="1993"/>
      <c r="W97" s="1993"/>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1990"/>
      <c r="H100" s="1990"/>
      <c r="I100" s="880" t="s">
        <v>552</v>
      </c>
      <c r="J100" s="881"/>
      <c r="K100" s="1990"/>
      <c r="L100" s="1990"/>
      <c r="M100" s="1990"/>
      <c r="N100" s="1990"/>
      <c r="O100" s="880" t="s">
        <v>558</v>
      </c>
      <c r="P100" s="881"/>
      <c r="Q100" s="1991"/>
      <c r="R100" s="1991"/>
      <c r="S100" s="1991"/>
      <c r="T100" s="1991"/>
      <c r="U100" s="1991"/>
      <c r="V100" s="1991"/>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1988"/>
      <c r="H101" s="1988"/>
      <c r="I101" s="1988"/>
      <c r="J101" s="1988"/>
      <c r="K101" s="1988"/>
      <c r="L101" s="1988"/>
      <c r="M101" s="1988"/>
      <c r="N101" s="1988"/>
      <c r="O101" s="1988"/>
      <c r="P101" s="1988"/>
      <c r="Q101" s="1988"/>
      <c r="R101" s="1988"/>
      <c r="S101" s="1988"/>
      <c r="T101" s="1988"/>
      <c r="U101" s="1988"/>
      <c r="V101" s="1988"/>
      <c r="W101" s="1988"/>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1990"/>
      <c r="H102" s="1990"/>
      <c r="I102" s="1992" t="s">
        <v>553</v>
      </c>
      <c r="J102" s="1992"/>
      <c r="K102" s="1992"/>
      <c r="L102" s="1990"/>
      <c r="M102" s="1990"/>
      <c r="N102" s="1990"/>
      <c r="O102" s="880" t="s">
        <v>559</v>
      </c>
      <c r="P102" s="881"/>
      <c r="Q102" s="880"/>
      <c r="R102" s="1991"/>
      <c r="S102" s="1991"/>
      <c r="T102" s="1991"/>
      <c r="U102" s="1991"/>
      <c r="V102" s="1991"/>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1988"/>
      <c r="H103" s="1988"/>
      <c r="I103" s="1988"/>
      <c r="J103" s="1988"/>
      <c r="K103" s="1988"/>
      <c r="L103" s="1988"/>
      <c r="M103" s="1988"/>
      <c r="N103" s="1988"/>
      <c r="O103" s="1988"/>
      <c r="P103" s="1988"/>
      <c r="Q103" s="1988"/>
      <c r="R103" s="1988"/>
      <c r="S103" s="1988"/>
      <c r="T103" s="1988"/>
      <c r="U103" s="1988"/>
      <c r="V103" s="1988"/>
      <c r="W103" s="1988"/>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1988"/>
      <c r="I104" s="1988"/>
      <c r="J104" s="1988"/>
      <c r="K104" s="1988"/>
      <c r="L104" s="1988"/>
      <c r="M104" s="1988"/>
      <c r="N104" s="1988"/>
      <c r="O104" s="1988"/>
      <c r="P104" s="1988"/>
      <c r="Q104" s="1988"/>
      <c r="R104" s="1988"/>
      <c r="S104" s="1988"/>
      <c r="T104" s="1988"/>
      <c r="U104" s="1988"/>
      <c r="V104" s="1988"/>
      <c r="W104" s="1988"/>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1980"/>
      <c r="H105" s="1980"/>
      <c r="I105" s="1980"/>
      <c r="J105" s="1980"/>
      <c r="K105" s="1980"/>
      <c r="L105" s="1980"/>
      <c r="M105" s="1980"/>
      <c r="N105" s="1980"/>
      <c r="O105" s="1980"/>
      <c r="P105" s="1980"/>
      <c r="Q105" s="1980"/>
      <c r="R105" s="1980"/>
      <c r="S105" s="1980"/>
      <c r="T105" s="1980"/>
      <c r="U105" s="1980"/>
      <c r="V105" s="1980"/>
      <c r="W105" s="1980"/>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1980"/>
      <c r="H106" s="1980"/>
      <c r="I106" s="1980"/>
      <c r="J106" s="1980"/>
      <c r="K106" s="1980"/>
      <c r="L106" s="1980"/>
      <c r="M106" s="1980"/>
      <c r="N106" s="1980"/>
      <c r="O106" s="1980"/>
      <c r="P106" s="1980"/>
      <c r="Q106" s="1980"/>
      <c r="R106" s="1980"/>
      <c r="S106" s="1980"/>
      <c r="T106" s="1980"/>
      <c r="U106" s="1980"/>
      <c r="V106" s="1980"/>
      <c r="W106" s="1980"/>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1989"/>
      <c r="H107" s="1989"/>
      <c r="I107" s="1989"/>
      <c r="J107" s="1989"/>
      <c r="K107" s="1989"/>
      <c r="L107" s="1989"/>
      <c r="M107" s="1989"/>
      <c r="N107" s="1989"/>
      <c r="O107" s="1989"/>
      <c r="P107" s="1989"/>
      <c r="Q107" s="1989"/>
      <c r="R107" s="1989"/>
      <c r="S107" s="1989"/>
      <c r="T107" s="1989"/>
      <c r="U107" s="1989"/>
      <c r="V107" s="1989"/>
      <c r="W107" s="1989"/>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1993"/>
      <c r="K108" s="1993"/>
      <c r="L108" s="1993"/>
      <c r="M108" s="1993"/>
      <c r="N108" s="1993"/>
      <c r="O108" s="1993"/>
      <c r="P108" s="1993"/>
      <c r="Q108" s="1993"/>
      <c r="R108" s="1993"/>
      <c r="S108" s="1993"/>
      <c r="T108" s="1993"/>
      <c r="U108" s="1993"/>
      <c r="V108" s="1993"/>
      <c r="W108" s="1993"/>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1980"/>
      <c r="H111" s="1980"/>
      <c r="I111" s="1980"/>
      <c r="J111" s="1980"/>
      <c r="K111" s="1980"/>
      <c r="L111" s="1980"/>
      <c r="M111" s="1980"/>
      <c r="N111" s="1980"/>
      <c r="O111" s="1980"/>
      <c r="P111" s="1980"/>
      <c r="Q111" s="1980"/>
      <c r="R111" s="1980"/>
      <c r="S111" s="1980"/>
      <c r="T111" s="1980"/>
      <c r="U111" s="1980"/>
      <c r="V111" s="1980"/>
      <c r="W111" s="1980"/>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1980"/>
      <c r="H112" s="1980"/>
      <c r="I112" s="1980"/>
      <c r="J112" s="1980"/>
      <c r="K112" s="1980"/>
      <c r="L112" s="1980"/>
      <c r="M112" s="1980"/>
      <c r="N112" s="1980"/>
      <c r="O112" s="1980"/>
      <c r="P112" s="1980"/>
      <c r="Q112" s="1980"/>
      <c r="R112" s="1980"/>
      <c r="S112" s="1980"/>
      <c r="T112" s="1980"/>
      <c r="U112" s="1980"/>
      <c r="V112" s="1980"/>
      <c r="W112" s="1980"/>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1990"/>
      <c r="L113" s="1990"/>
      <c r="M113" s="1990"/>
      <c r="N113" s="1990"/>
      <c r="O113" s="1994" t="s">
        <v>3425</v>
      </c>
      <c r="P113" s="1994"/>
      <c r="Q113" s="1991"/>
      <c r="R113" s="1991"/>
      <c r="S113" s="1991"/>
      <c r="T113" s="1991"/>
      <c r="U113" s="1991"/>
      <c r="V113" s="1991"/>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1988"/>
      <c r="H114" s="1988"/>
      <c r="I114" s="1988"/>
      <c r="J114" s="1988"/>
      <c r="K114" s="1988"/>
      <c r="L114" s="1988"/>
      <c r="M114" s="1988"/>
      <c r="N114" s="1988"/>
      <c r="O114" s="1988"/>
      <c r="P114" s="1988"/>
      <c r="Q114" s="1988"/>
      <c r="R114" s="1988"/>
      <c r="S114" s="1988"/>
      <c r="T114" s="1988"/>
      <c r="U114" s="1988"/>
      <c r="V114" s="1988"/>
      <c r="W114" s="1988"/>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1988"/>
      <c r="I115" s="1988"/>
      <c r="J115" s="1988"/>
      <c r="K115" s="1988"/>
      <c r="L115" s="1988"/>
      <c r="M115" s="1988"/>
      <c r="N115" s="1988"/>
      <c r="O115" s="1988"/>
      <c r="P115" s="1988"/>
      <c r="Q115" s="1988"/>
      <c r="R115" s="1988"/>
      <c r="S115" s="1988"/>
      <c r="T115" s="1988"/>
      <c r="U115" s="1988"/>
      <c r="V115" s="1988"/>
      <c r="W115" s="1988"/>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1980"/>
      <c r="H116" s="1980"/>
      <c r="I116" s="1980"/>
      <c r="J116" s="1980"/>
      <c r="K116" s="1980"/>
      <c r="L116" s="1980"/>
      <c r="M116" s="1980"/>
      <c r="N116" s="1980"/>
      <c r="O116" s="1980"/>
      <c r="P116" s="1980"/>
      <c r="Q116" s="1980"/>
      <c r="R116" s="1980"/>
      <c r="S116" s="1980"/>
      <c r="T116" s="1980"/>
      <c r="U116" s="1980"/>
      <c r="V116" s="1980"/>
      <c r="W116" s="1980"/>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1980"/>
      <c r="H117" s="1980"/>
      <c r="I117" s="1980"/>
      <c r="J117" s="1980"/>
      <c r="K117" s="1980"/>
      <c r="L117" s="1980"/>
      <c r="M117" s="1980"/>
      <c r="N117" s="1980"/>
      <c r="O117" s="1980"/>
      <c r="P117" s="1980"/>
      <c r="Q117" s="1980"/>
      <c r="R117" s="1980"/>
      <c r="S117" s="1980"/>
      <c r="T117" s="1980"/>
      <c r="U117" s="1980"/>
      <c r="V117" s="1980"/>
      <c r="W117" s="1980"/>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1989"/>
      <c r="H118" s="1989"/>
      <c r="I118" s="1989"/>
      <c r="J118" s="1989"/>
      <c r="K118" s="1989"/>
      <c r="L118" s="1989"/>
      <c r="M118" s="1989"/>
      <c r="N118" s="1989"/>
      <c r="O118" s="1989"/>
      <c r="P118" s="1989"/>
      <c r="Q118" s="1989"/>
      <c r="R118" s="1989"/>
      <c r="S118" s="1989"/>
      <c r="T118" s="1989"/>
      <c r="U118" s="1989"/>
      <c r="V118" s="1989"/>
      <c r="W118" s="1989"/>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1980"/>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557"/>
      <c r="AH121" s="873"/>
      <c r="AI121" s="873"/>
      <c r="AJ121" s="873"/>
      <c r="AK121" s="873"/>
      <c r="AL121" s="873"/>
    </row>
    <row r="122" spans="1:38" ht="13.5">
      <c r="A122" s="553"/>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1996" t="s">
        <v>3560</v>
      </c>
      <c r="B125" s="1996"/>
      <c r="C125" s="1996"/>
      <c r="D125" s="1996"/>
      <c r="E125" s="1996"/>
      <c r="F125" s="1996"/>
      <c r="G125" s="1996"/>
      <c r="H125" s="1996"/>
      <c r="I125" s="1996"/>
      <c r="J125" s="1996"/>
      <c r="K125" s="1996"/>
      <c r="L125" s="1996"/>
      <c r="M125" s="1996"/>
      <c r="N125" s="1996"/>
      <c r="O125" s="1996"/>
      <c r="P125" s="1996"/>
      <c r="Q125" s="1996"/>
      <c r="R125" s="1996"/>
      <c r="S125" s="1996"/>
      <c r="T125" s="1996"/>
      <c r="U125" s="1996"/>
      <c r="V125" s="1996"/>
      <c r="W125" s="1996"/>
      <c r="X125" s="1996"/>
    </row>
    <row r="126" spans="1:38" ht="13.5">
      <c r="A126" s="1996"/>
      <c r="B126" s="1996"/>
      <c r="C126" s="1996"/>
      <c r="D126" s="1996"/>
      <c r="E126" s="1996"/>
      <c r="F126" s="1996"/>
      <c r="G126" s="1996"/>
      <c r="H126" s="1996"/>
      <c r="I126" s="1996"/>
      <c r="J126" s="1996"/>
      <c r="K126" s="1996"/>
      <c r="L126" s="1996"/>
      <c r="M126" s="1996"/>
      <c r="N126" s="1996"/>
      <c r="O126" s="1996"/>
      <c r="P126" s="1996"/>
      <c r="Q126" s="1996"/>
      <c r="R126" s="1996"/>
      <c r="S126" s="1996"/>
      <c r="T126" s="1996"/>
      <c r="U126" s="1996"/>
      <c r="V126" s="1996"/>
      <c r="W126" s="1996"/>
      <c r="X126" s="1996"/>
    </row>
    <row r="127" spans="1:38" ht="13.5">
      <c r="A127" s="1996"/>
      <c r="B127" s="1996"/>
      <c r="C127" s="1996"/>
      <c r="D127" s="1996"/>
      <c r="E127" s="1996"/>
      <c r="F127" s="1996"/>
      <c r="G127" s="1996"/>
      <c r="H127" s="1996"/>
      <c r="I127" s="1996"/>
      <c r="J127" s="1996"/>
      <c r="K127" s="1996"/>
      <c r="L127" s="1996"/>
      <c r="M127" s="1996"/>
      <c r="N127" s="1996"/>
      <c r="O127" s="1996"/>
      <c r="P127" s="1996"/>
      <c r="Q127" s="1996"/>
      <c r="R127" s="1996"/>
      <c r="S127" s="1996"/>
      <c r="T127" s="1996"/>
      <c r="U127" s="1996"/>
      <c r="V127" s="1996"/>
      <c r="W127" s="1996"/>
      <c r="X127" s="1996"/>
    </row>
    <row r="128" spans="1:38" ht="13.5">
      <c r="A128" s="1996"/>
      <c r="B128" s="1996"/>
      <c r="C128" s="1996"/>
      <c r="D128" s="1996"/>
      <c r="E128" s="1996"/>
      <c r="F128" s="1996"/>
      <c r="G128" s="1996"/>
      <c r="H128" s="1996"/>
      <c r="I128" s="1996"/>
      <c r="J128" s="1996"/>
      <c r="K128" s="1996"/>
      <c r="L128" s="1996"/>
      <c r="M128" s="1996"/>
      <c r="N128" s="1996"/>
      <c r="O128" s="1996"/>
      <c r="P128" s="1996"/>
      <c r="Q128" s="1996"/>
      <c r="R128" s="1996"/>
      <c r="S128" s="1996"/>
      <c r="T128" s="1996"/>
      <c r="U128" s="1996"/>
      <c r="V128" s="1996"/>
      <c r="W128" s="1996"/>
      <c r="X128" s="1996"/>
    </row>
    <row r="129" spans="1:24" ht="13.5">
      <c r="A129" s="1996"/>
      <c r="B129" s="1996"/>
      <c r="C129" s="1996"/>
      <c r="D129" s="1996"/>
      <c r="E129" s="1996"/>
      <c r="F129" s="1996"/>
      <c r="G129" s="1996"/>
      <c r="H129" s="1996"/>
      <c r="I129" s="1996"/>
      <c r="J129" s="1996"/>
      <c r="K129" s="1996"/>
      <c r="L129" s="1996"/>
      <c r="M129" s="1996"/>
      <c r="N129" s="1996"/>
      <c r="O129" s="1996"/>
      <c r="P129" s="1996"/>
      <c r="Q129" s="1996"/>
      <c r="R129" s="1996"/>
      <c r="S129" s="1996"/>
      <c r="T129" s="1996"/>
      <c r="U129" s="1996"/>
      <c r="V129" s="1996"/>
      <c r="W129" s="1996"/>
      <c r="X129" s="1996"/>
    </row>
    <row r="130" spans="1:24" ht="13.5">
      <c r="A130" s="1996"/>
      <c r="B130" s="1996"/>
      <c r="C130" s="1996"/>
      <c r="D130" s="1996"/>
      <c r="E130" s="1996"/>
      <c r="F130" s="1996"/>
      <c r="G130" s="1996"/>
      <c r="H130" s="1996"/>
      <c r="I130" s="1996"/>
      <c r="J130" s="1996"/>
      <c r="K130" s="1996"/>
      <c r="L130" s="1996"/>
      <c r="M130" s="1996"/>
      <c r="N130" s="1996"/>
      <c r="O130" s="1996"/>
      <c r="P130" s="1996"/>
      <c r="Q130" s="1996"/>
      <c r="R130" s="1996"/>
      <c r="S130" s="1996"/>
      <c r="T130" s="1996"/>
      <c r="U130" s="1996"/>
      <c r="V130" s="1996"/>
      <c r="W130" s="1996"/>
      <c r="X130" s="1996"/>
    </row>
    <row r="131" spans="1:24" ht="13.5">
      <c r="A131" s="1996"/>
      <c r="B131" s="1996"/>
      <c r="C131" s="1996"/>
      <c r="D131" s="1996"/>
      <c r="E131" s="1996"/>
      <c r="F131" s="1996"/>
      <c r="G131" s="1996"/>
      <c r="H131" s="1996"/>
      <c r="I131" s="1996"/>
      <c r="J131" s="1996"/>
      <c r="K131" s="1996"/>
      <c r="L131" s="1996"/>
      <c r="M131" s="1996"/>
      <c r="N131" s="1996"/>
      <c r="O131" s="1996"/>
      <c r="P131" s="1996"/>
      <c r="Q131" s="1996"/>
      <c r="R131" s="1996"/>
      <c r="S131" s="1996"/>
      <c r="T131" s="1996"/>
      <c r="U131" s="1996"/>
      <c r="V131" s="1996"/>
      <c r="W131" s="1996"/>
      <c r="X131" s="1996"/>
    </row>
    <row r="132" spans="1:24" ht="13.5">
      <c r="A132" s="1996"/>
      <c r="B132" s="1996"/>
      <c r="C132" s="1996"/>
      <c r="D132" s="1996"/>
      <c r="E132" s="1996"/>
      <c r="F132" s="1996"/>
      <c r="G132" s="1996"/>
      <c r="H132" s="1996"/>
      <c r="I132" s="1996"/>
      <c r="J132" s="1996"/>
      <c r="K132" s="1996"/>
      <c r="L132" s="1996"/>
      <c r="M132" s="1996"/>
      <c r="N132" s="1996"/>
      <c r="O132" s="1996"/>
      <c r="P132" s="1996"/>
      <c r="Q132" s="1996"/>
      <c r="R132" s="1996"/>
      <c r="S132" s="1996"/>
      <c r="T132" s="1996"/>
      <c r="U132" s="1996"/>
      <c r="V132" s="1996"/>
      <c r="W132" s="1996"/>
      <c r="X132" s="1996"/>
    </row>
    <row r="133" spans="1:24" ht="13.5">
      <c r="A133" s="1996"/>
      <c r="B133" s="1996"/>
      <c r="C133" s="1996"/>
      <c r="D133" s="1996"/>
      <c r="E133" s="1996"/>
      <c r="F133" s="1996"/>
      <c r="G133" s="1996"/>
      <c r="H133" s="1996"/>
      <c r="I133" s="1996"/>
      <c r="J133" s="1996"/>
      <c r="K133" s="1996"/>
      <c r="L133" s="1996"/>
      <c r="M133" s="1996"/>
      <c r="N133" s="1996"/>
      <c r="O133" s="1996"/>
      <c r="P133" s="1996"/>
      <c r="Q133" s="1996"/>
      <c r="R133" s="1996"/>
      <c r="S133" s="1996"/>
      <c r="T133" s="1996"/>
      <c r="U133" s="1996"/>
      <c r="V133" s="1996"/>
      <c r="W133" s="1996"/>
      <c r="X133" s="1996"/>
    </row>
    <row r="134" spans="1:24" ht="13.5">
      <c r="A134" s="1996"/>
      <c r="B134" s="1996"/>
      <c r="C134" s="1996"/>
      <c r="D134" s="1996"/>
      <c r="E134" s="1996"/>
      <c r="F134" s="1996"/>
      <c r="G134" s="1996"/>
      <c r="H134" s="1996"/>
      <c r="I134" s="1996"/>
      <c r="J134" s="1996"/>
      <c r="K134" s="1996"/>
      <c r="L134" s="1996"/>
      <c r="M134" s="1996"/>
      <c r="N134" s="1996"/>
      <c r="O134" s="1996"/>
      <c r="P134" s="1996"/>
      <c r="Q134" s="1996"/>
      <c r="R134" s="1996"/>
      <c r="S134" s="1996"/>
      <c r="T134" s="1996"/>
      <c r="U134" s="1996"/>
      <c r="V134" s="1996"/>
      <c r="W134" s="1996"/>
      <c r="X134" s="1996"/>
    </row>
    <row r="135" spans="1:24" ht="13.5">
      <c r="A135" s="1996"/>
      <c r="B135" s="1996"/>
      <c r="C135" s="1996"/>
      <c r="D135" s="1996"/>
      <c r="E135" s="1996"/>
      <c r="F135" s="1996"/>
      <c r="G135" s="1996"/>
      <c r="H135" s="1996"/>
      <c r="I135" s="1996"/>
      <c r="J135" s="1996"/>
      <c r="K135" s="1996"/>
      <c r="L135" s="1996"/>
      <c r="M135" s="1996"/>
      <c r="N135" s="1996"/>
      <c r="O135" s="1996"/>
      <c r="P135" s="1996"/>
      <c r="Q135" s="1996"/>
      <c r="R135" s="1996"/>
      <c r="S135" s="1996"/>
      <c r="T135" s="1996"/>
      <c r="U135" s="1996"/>
      <c r="V135" s="1996"/>
      <c r="W135" s="1996"/>
      <c r="X135" s="1996"/>
    </row>
    <row r="136" spans="1:24" ht="13.5">
      <c r="A136" s="1996"/>
      <c r="B136" s="1996"/>
      <c r="C136" s="1996"/>
      <c r="D136" s="1996"/>
      <c r="E136" s="1996"/>
      <c r="F136" s="1996"/>
      <c r="G136" s="1996"/>
      <c r="H136" s="1996"/>
      <c r="I136" s="1996"/>
      <c r="J136" s="1996"/>
      <c r="K136" s="1996"/>
      <c r="L136" s="1996"/>
      <c r="M136" s="1996"/>
      <c r="N136" s="1996"/>
      <c r="O136" s="1996"/>
      <c r="P136" s="1996"/>
      <c r="Q136" s="1996"/>
      <c r="R136" s="1996"/>
      <c r="S136" s="1996"/>
      <c r="T136" s="1996"/>
      <c r="U136" s="1996"/>
      <c r="V136" s="1996"/>
      <c r="W136" s="1996"/>
      <c r="X136" s="1996"/>
    </row>
    <row r="137" spans="1:24" ht="13.5">
      <c r="A137" s="1996"/>
      <c r="B137" s="1996"/>
      <c r="C137" s="1996"/>
      <c r="D137" s="1996"/>
      <c r="E137" s="1996"/>
      <c r="F137" s="1996"/>
      <c r="G137" s="1996"/>
      <c r="H137" s="1996"/>
      <c r="I137" s="1996"/>
      <c r="J137" s="1996"/>
      <c r="K137" s="1996"/>
      <c r="L137" s="1996"/>
      <c r="M137" s="1996"/>
      <c r="N137" s="1996"/>
      <c r="O137" s="1996"/>
      <c r="P137" s="1996"/>
      <c r="Q137" s="1996"/>
      <c r="R137" s="1996"/>
      <c r="S137" s="1996"/>
      <c r="T137" s="1996"/>
      <c r="U137" s="1996"/>
      <c r="V137" s="1996"/>
      <c r="W137" s="1996"/>
      <c r="X137" s="1996"/>
    </row>
    <row r="138" spans="1:24" ht="13.5">
      <c r="A138" s="1996"/>
      <c r="B138" s="1996"/>
      <c r="C138" s="1996"/>
      <c r="D138" s="1996"/>
      <c r="E138" s="1996"/>
      <c r="F138" s="1996"/>
      <c r="G138" s="1996"/>
      <c r="H138" s="1996"/>
      <c r="I138" s="1996"/>
      <c r="J138" s="1996"/>
      <c r="K138" s="1996"/>
      <c r="L138" s="1996"/>
      <c r="M138" s="1996"/>
      <c r="N138" s="1996"/>
      <c r="O138" s="1996"/>
      <c r="P138" s="1996"/>
      <c r="Q138" s="1996"/>
      <c r="R138" s="1996"/>
      <c r="S138" s="1996"/>
      <c r="T138" s="1996"/>
      <c r="U138" s="1996"/>
      <c r="V138" s="1996"/>
      <c r="W138" s="1996"/>
      <c r="X138" s="1996"/>
    </row>
    <row r="139" spans="1:24" ht="13.5">
      <c r="A139" s="1996"/>
      <c r="B139" s="1996"/>
      <c r="C139" s="1996"/>
      <c r="D139" s="1996"/>
      <c r="E139" s="1996"/>
      <c r="F139" s="1996"/>
      <c r="G139" s="1996"/>
      <c r="H139" s="1996"/>
      <c r="I139" s="1996"/>
      <c r="J139" s="1996"/>
      <c r="K139" s="1996"/>
      <c r="L139" s="1996"/>
      <c r="M139" s="1996"/>
      <c r="N139" s="1996"/>
      <c r="O139" s="1996"/>
      <c r="P139" s="1996"/>
      <c r="Q139" s="1996"/>
      <c r="R139" s="1996"/>
      <c r="S139" s="1996"/>
      <c r="T139" s="1996"/>
      <c r="U139" s="1996"/>
      <c r="V139" s="1996"/>
      <c r="W139" s="1996"/>
      <c r="X139" s="1996"/>
    </row>
    <row r="140" spans="1:24" ht="13.5">
      <c r="A140" s="1996"/>
      <c r="B140" s="1996"/>
      <c r="C140" s="1996"/>
      <c r="D140" s="1996"/>
      <c r="E140" s="1996"/>
      <c r="F140" s="1996"/>
      <c r="G140" s="1996"/>
      <c r="H140" s="1996"/>
      <c r="I140" s="1996"/>
      <c r="J140" s="1996"/>
      <c r="K140" s="1996"/>
      <c r="L140" s="1996"/>
      <c r="M140" s="1996"/>
      <c r="N140" s="1996"/>
      <c r="O140" s="1996"/>
      <c r="P140" s="1996"/>
      <c r="Q140" s="1996"/>
      <c r="R140" s="1996"/>
      <c r="S140" s="1996"/>
      <c r="T140" s="1996"/>
      <c r="U140" s="1996"/>
      <c r="V140" s="1996"/>
      <c r="W140" s="1996"/>
      <c r="X140" s="1996"/>
    </row>
    <row r="141" spans="1:24" ht="13.5">
      <c r="A141" s="1996"/>
      <c r="B141" s="1996"/>
      <c r="C141" s="1996"/>
      <c r="D141" s="1996"/>
      <c r="E141" s="1996"/>
      <c r="F141" s="1996"/>
      <c r="G141" s="1996"/>
      <c r="H141" s="1996"/>
      <c r="I141" s="1996"/>
      <c r="J141" s="1996"/>
      <c r="K141" s="1996"/>
      <c r="L141" s="1996"/>
      <c r="M141" s="1996"/>
      <c r="N141" s="1996"/>
      <c r="O141" s="1996"/>
      <c r="P141" s="1996"/>
      <c r="Q141" s="1996"/>
      <c r="R141" s="1996"/>
      <c r="S141" s="1996"/>
      <c r="T141" s="1996"/>
      <c r="U141" s="1996"/>
      <c r="V141" s="1996"/>
      <c r="W141" s="1996"/>
      <c r="X141" s="1996"/>
    </row>
    <row r="142" spans="1:24" ht="13.5">
      <c r="A142" s="1996"/>
      <c r="B142" s="1996"/>
      <c r="C142" s="1996"/>
      <c r="D142" s="1996"/>
      <c r="E142" s="1996"/>
      <c r="F142" s="1996"/>
      <c r="G142" s="1996"/>
      <c r="H142" s="1996"/>
      <c r="I142" s="1996"/>
      <c r="J142" s="1996"/>
      <c r="K142" s="1996"/>
      <c r="L142" s="1996"/>
      <c r="M142" s="1996"/>
      <c r="N142" s="1996"/>
      <c r="O142" s="1996"/>
      <c r="P142" s="1996"/>
      <c r="Q142" s="1996"/>
      <c r="R142" s="1996"/>
      <c r="S142" s="1996"/>
      <c r="T142" s="1996"/>
      <c r="U142" s="1996"/>
      <c r="V142" s="1996"/>
      <c r="W142" s="1996"/>
      <c r="X142" s="1996"/>
    </row>
    <row r="143" spans="1:24" ht="13.5">
      <c r="A143" s="1996"/>
      <c r="B143" s="1996"/>
      <c r="C143" s="1996"/>
      <c r="D143" s="1996"/>
      <c r="E143" s="1996"/>
      <c r="F143" s="1996"/>
      <c r="G143" s="1996"/>
      <c r="H143" s="1996"/>
      <c r="I143" s="1996"/>
      <c r="J143" s="1996"/>
      <c r="K143" s="1996"/>
      <c r="L143" s="1996"/>
      <c r="M143" s="1996"/>
      <c r="N143" s="1996"/>
      <c r="O143" s="1996"/>
      <c r="P143" s="1996"/>
      <c r="Q143" s="1996"/>
      <c r="R143" s="1996"/>
      <c r="S143" s="1996"/>
      <c r="T143" s="1996"/>
      <c r="U143" s="1996"/>
      <c r="V143" s="1996"/>
      <c r="W143" s="1996"/>
      <c r="X143" s="1996"/>
    </row>
    <row r="144" spans="1:24" ht="13.5">
      <c r="A144" s="1996"/>
      <c r="B144" s="1996"/>
      <c r="C144" s="1996"/>
      <c r="D144" s="1996"/>
      <c r="E144" s="1996"/>
      <c r="F144" s="1996"/>
      <c r="G144" s="1996"/>
      <c r="H144" s="1996"/>
      <c r="I144" s="1996"/>
      <c r="J144" s="1996"/>
      <c r="K144" s="1996"/>
      <c r="L144" s="1996"/>
      <c r="M144" s="1996"/>
      <c r="N144" s="1996"/>
      <c r="O144" s="1996"/>
      <c r="P144" s="1996"/>
      <c r="Q144" s="1996"/>
      <c r="R144" s="1996"/>
      <c r="S144" s="1996"/>
      <c r="T144" s="1996"/>
      <c r="U144" s="1996"/>
      <c r="V144" s="1996"/>
      <c r="W144" s="1996"/>
      <c r="X144" s="1996"/>
    </row>
    <row r="145" spans="1:24" ht="13.5">
      <c r="A145" s="1996"/>
      <c r="B145" s="1996"/>
      <c r="C145" s="1996"/>
      <c r="D145" s="1996"/>
      <c r="E145" s="1996"/>
      <c r="F145" s="1996"/>
      <c r="G145" s="1996"/>
      <c r="H145" s="1996"/>
      <c r="I145" s="1996"/>
      <c r="J145" s="1996"/>
      <c r="K145" s="1996"/>
      <c r="L145" s="1996"/>
      <c r="M145" s="1996"/>
      <c r="N145" s="1996"/>
      <c r="O145" s="1996"/>
      <c r="P145" s="1996"/>
      <c r="Q145" s="1996"/>
      <c r="R145" s="1996"/>
      <c r="S145" s="1996"/>
      <c r="T145" s="1996"/>
      <c r="U145" s="1996"/>
      <c r="V145" s="1996"/>
      <c r="W145" s="1996"/>
      <c r="X145" s="1996"/>
    </row>
    <row r="146" spans="1:24" ht="15" customHeight="1">
      <c r="A146" s="1996"/>
      <c r="B146" s="1996"/>
      <c r="C146" s="1996"/>
      <c r="D146" s="1996"/>
      <c r="E146" s="1996"/>
      <c r="F146" s="1996"/>
      <c r="G146" s="1996"/>
      <c r="H146" s="1996"/>
      <c r="I146" s="1996"/>
      <c r="J146" s="1996"/>
      <c r="K146" s="1996"/>
      <c r="L146" s="1996"/>
      <c r="M146" s="1996"/>
      <c r="N146" s="1996"/>
      <c r="O146" s="1996"/>
      <c r="P146" s="1996"/>
      <c r="Q146" s="1996"/>
      <c r="R146" s="1996"/>
      <c r="S146" s="1996"/>
      <c r="T146" s="1996"/>
      <c r="U146" s="1996"/>
      <c r="V146" s="1996"/>
      <c r="W146" s="1996"/>
      <c r="X146" s="1996"/>
    </row>
    <row r="147" spans="1:24" ht="15" customHeight="1">
      <c r="A147" s="1996"/>
      <c r="B147" s="1996"/>
      <c r="C147" s="1996"/>
      <c r="D147" s="1996"/>
      <c r="E147" s="1996"/>
      <c r="F147" s="1996"/>
      <c r="G147" s="1996"/>
      <c r="H147" s="1996"/>
      <c r="I147" s="1996"/>
      <c r="J147" s="1996"/>
      <c r="K147" s="1996"/>
      <c r="L147" s="1996"/>
      <c r="M147" s="1996"/>
      <c r="N147" s="1996"/>
      <c r="O147" s="1996"/>
      <c r="P147" s="1996"/>
      <c r="Q147" s="1996"/>
      <c r="R147" s="1996"/>
      <c r="S147" s="1996"/>
      <c r="T147" s="1996"/>
      <c r="U147" s="1996"/>
      <c r="V147" s="1996"/>
      <c r="W147" s="1996"/>
      <c r="X147" s="1996"/>
    </row>
    <row r="148" spans="1:24" ht="15" customHeight="1">
      <c r="A148" s="1996"/>
      <c r="B148" s="1996"/>
      <c r="C148" s="1996"/>
      <c r="D148" s="1996"/>
      <c r="E148" s="1996"/>
      <c r="F148" s="1996"/>
      <c r="G148" s="1996"/>
      <c r="H148" s="1996"/>
      <c r="I148" s="1996"/>
      <c r="J148" s="1996"/>
      <c r="K148" s="1996"/>
      <c r="L148" s="1996"/>
      <c r="M148" s="1996"/>
      <c r="N148" s="1996"/>
      <c r="O148" s="1996"/>
      <c r="P148" s="1996"/>
      <c r="Q148" s="1996"/>
      <c r="R148" s="1996"/>
      <c r="S148" s="1996"/>
      <c r="T148" s="1996"/>
      <c r="U148" s="1996"/>
      <c r="V148" s="1996"/>
      <c r="W148" s="1996"/>
      <c r="X148" s="1996"/>
    </row>
    <row r="149" spans="1:24" ht="15" customHeight="1">
      <c r="A149" s="1996"/>
      <c r="B149" s="1996"/>
      <c r="C149" s="1996"/>
      <c r="D149" s="1996"/>
      <c r="E149" s="1996"/>
      <c r="F149" s="1996"/>
      <c r="G149" s="1996"/>
      <c r="H149" s="1996"/>
      <c r="I149" s="1996"/>
      <c r="J149" s="1996"/>
      <c r="K149" s="1996"/>
      <c r="L149" s="1996"/>
      <c r="M149" s="1996"/>
      <c r="N149" s="1996"/>
      <c r="O149" s="1996"/>
      <c r="P149" s="1996"/>
      <c r="Q149" s="1996"/>
      <c r="R149" s="1996"/>
      <c r="S149" s="1996"/>
      <c r="T149" s="1996"/>
      <c r="U149" s="1996"/>
      <c r="V149" s="1996"/>
      <c r="W149" s="1996"/>
      <c r="X149" s="1996"/>
    </row>
    <row r="150" spans="1:24" ht="15" customHeight="1">
      <c r="A150" s="1996"/>
      <c r="B150" s="1996"/>
      <c r="C150" s="1996"/>
      <c r="D150" s="1996"/>
      <c r="E150" s="1996"/>
      <c r="F150" s="1996"/>
      <c r="G150" s="1996"/>
      <c r="H150" s="1996"/>
      <c r="I150" s="1996"/>
      <c r="J150" s="1996"/>
      <c r="K150" s="1996"/>
      <c r="L150" s="1996"/>
      <c r="M150" s="1996"/>
      <c r="N150" s="1996"/>
      <c r="O150" s="1996"/>
      <c r="P150" s="1996"/>
      <c r="Q150" s="1996"/>
      <c r="R150" s="1996"/>
      <c r="S150" s="1996"/>
      <c r="T150" s="1996"/>
      <c r="U150" s="1996"/>
      <c r="V150" s="1996"/>
      <c r="W150" s="1996"/>
      <c r="X150" s="1996"/>
    </row>
    <row r="151" spans="1:24" ht="15" customHeight="1">
      <c r="A151" s="1996"/>
      <c r="B151" s="1996"/>
      <c r="C151" s="1996"/>
      <c r="D151" s="1996"/>
      <c r="E151" s="1996"/>
      <c r="F151" s="1996"/>
      <c r="G151" s="1996"/>
      <c r="H151" s="1996"/>
      <c r="I151" s="1996"/>
      <c r="J151" s="1996"/>
      <c r="K151" s="1996"/>
      <c r="L151" s="1996"/>
      <c r="M151" s="1996"/>
      <c r="N151" s="1996"/>
      <c r="O151" s="1996"/>
      <c r="P151" s="1996"/>
      <c r="Q151" s="1996"/>
      <c r="R151" s="1996"/>
      <c r="S151" s="1996"/>
      <c r="T151" s="1996"/>
      <c r="U151" s="1996"/>
      <c r="V151" s="1996"/>
      <c r="W151" s="1996"/>
      <c r="X151" s="1996"/>
    </row>
    <row r="152" spans="1:24" ht="15" customHeight="1">
      <c r="A152" s="1996"/>
      <c r="B152" s="1996"/>
      <c r="C152" s="1996"/>
      <c r="D152" s="1996"/>
      <c r="E152" s="1996"/>
      <c r="F152" s="1996"/>
      <c r="G152" s="1996"/>
      <c r="H152" s="1996"/>
      <c r="I152" s="1996"/>
      <c r="J152" s="1996"/>
      <c r="K152" s="1996"/>
      <c r="L152" s="1996"/>
      <c r="M152" s="1996"/>
      <c r="N152" s="1996"/>
      <c r="O152" s="1996"/>
      <c r="P152" s="1996"/>
      <c r="Q152" s="1996"/>
      <c r="R152" s="1996"/>
      <c r="S152" s="1996"/>
      <c r="T152" s="1996"/>
      <c r="U152" s="1996"/>
      <c r="V152" s="1996"/>
      <c r="W152" s="1996"/>
      <c r="X152" s="1996"/>
    </row>
    <row r="153" spans="1:24" ht="15" customHeight="1">
      <c r="A153" s="1996"/>
      <c r="B153" s="1996"/>
      <c r="C153" s="1996"/>
      <c r="D153" s="1996"/>
      <c r="E153" s="1996"/>
      <c r="F153" s="1996"/>
      <c r="G153" s="1996"/>
      <c r="H153" s="1996"/>
      <c r="I153" s="1996"/>
      <c r="J153" s="1996"/>
      <c r="K153" s="1996"/>
      <c r="L153" s="1996"/>
      <c r="M153" s="1996"/>
      <c r="N153" s="1996"/>
      <c r="O153" s="1996"/>
      <c r="P153" s="1996"/>
      <c r="Q153" s="1996"/>
      <c r="R153" s="1996"/>
      <c r="S153" s="1996"/>
      <c r="T153" s="1996"/>
      <c r="U153" s="1996"/>
      <c r="V153" s="1996"/>
      <c r="W153" s="1996"/>
      <c r="X153" s="1996"/>
    </row>
    <row r="154" spans="1:24" ht="15" customHeight="1">
      <c r="A154" s="1996"/>
      <c r="B154" s="1996"/>
      <c r="C154" s="1996"/>
      <c r="D154" s="1996"/>
      <c r="E154" s="1996"/>
      <c r="F154" s="1996"/>
      <c r="G154" s="1996"/>
      <c r="H154" s="1996"/>
      <c r="I154" s="1996"/>
      <c r="J154" s="1996"/>
      <c r="K154" s="1996"/>
      <c r="L154" s="1996"/>
      <c r="M154" s="1996"/>
      <c r="N154" s="1996"/>
      <c r="O154" s="1996"/>
      <c r="P154" s="1996"/>
      <c r="Q154" s="1996"/>
      <c r="R154" s="1996"/>
      <c r="S154" s="1996"/>
      <c r="T154" s="1996"/>
      <c r="U154" s="1996"/>
      <c r="V154" s="1996"/>
      <c r="W154" s="1996"/>
      <c r="X154" s="1996"/>
    </row>
    <row r="155" spans="1:24" ht="15" customHeight="1">
      <c r="A155" s="1996"/>
      <c r="B155" s="1996"/>
      <c r="C155" s="1996"/>
      <c r="D155" s="1996"/>
      <c r="E155" s="1996"/>
      <c r="F155" s="1996"/>
      <c r="G155" s="1996"/>
      <c r="H155" s="1996"/>
      <c r="I155" s="1996"/>
      <c r="J155" s="1996"/>
      <c r="K155" s="1996"/>
      <c r="L155" s="1996"/>
      <c r="M155" s="1996"/>
      <c r="N155" s="1996"/>
      <c r="O155" s="1996"/>
      <c r="P155" s="1996"/>
      <c r="Q155" s="1996"/>
      <c r="R155" s="1996"/>
      <c r="S155" s="1996"/>
      <c r="T155" s="1996"/>
      <c r="U155" s="1996"/>
      <c r="V155" s="1996"/>
      <c r="W155" s="1996"/>
      <c r="X155" s="1996"/>
    </row>
    <row r="156" spans="1:24" ht="15" customHeight="1">
      <c r="A156" s="1996"/>
      <c r="B156" s="1996"/>
      <c r="C156" s="1996"/>
      <c r="D156" s="1996"/>
      <c r="E156" s="1996"/>
      <c r="F156" s="1996"/>
      <c r="G156" s="1996"/>
      <c r="H156" s="1996"/>
      <c r="I156" s="1996"/>
      <c r="J156" s="1996"/>
      <c r="K156" s="1996"/>
      <c r="L156" s="1996"/>
      <c r="M156" s="1996"/>
      <c r="N156" s="1996"/>
      <c r="O156" s="1996"/>
      <c r="P156" s="1996"/>
      <c r="Q156" s="1996"/>
      <c r="R156" s="1996"/>
      <c r="S156" s="1996"/>
      <c r="T156" s="1996"/>
      <c r="U156" s="1996"/>
      <c r="V156" s="1996"/>
      <c r="W156" s="1996"/>
      <c r="X156" s="1996"/>
    </row>
    <row r="163" spans="1:38" ht="13.5">
      <c r="A163" s="1904" t="s">
        <v>3457</v>
      </c>
      <c r="B163" s="1904"/>
      <c r="C163" s="1904"/>
      <c r="D163" s="1904"/>
      <c r="E163" s="1904"/>
      <c r="F163" s="1904"/>
      <c r="G163" s="1904"/>
      <c r="H163" s="1904"/>
      <c r="I163" s="1904"/>
      <c r="J163" s="1904"/>
      <c r="K163" s="1904"/>
      <c r="L163" s="1904"/>
      <c r="M163" s="1904"/>
      <c r="N163" s="1904"/>
      <c r="O163" s="1904"/>
      <c r="P163" s="1904"/>
      <c r="Q163" s="1904"/>
      <c r="R163" s="1904"/>
      <c r="S163" s="1904"/>
      <c r="T163" s="1904"/>
      <c r="U163" s="1904"/>
      <c r="V163" s="1904"/>
      <c r="W163" s="1904"/>
      <c r="X163" s="1904"/>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1995" t="str">
        <f>IFERROR(PHONETIC(G167),"")</f>
        <v/>
      </c>
      <c r="H166" s="1995"/>
      <c r="I166" s="1995"/>
      <c r="J166" s="1995"/>
      <c r="K166" s="1995"/>
      <c r="L166" s="1995"/>
      <c r="M166" s="1995"/>
      <c r="N166" s="1995"/>
      <c r="O166" s="1995"/>
      <c r="P166" s="1995"/>
      <c r="Q166" s="1995"/>
      <c r="R166" s="1995"/>
      <c r="S166" s="1995"/>
      <c r="T166" s="1995"/>
      <c r="U166" s="1995"/>
      <c r="V166" s="1995"/>
      <c r="W166" s="1995"/>
      <c r="X166" s="557"/>
      <c r="AH166" s="861" t="str">
        <f>HYPERLINK("#A55：X108")</f>
        <v>#A55：X108</v>
      </c>
      <c r="AI166" s="864" t="s">
        <v>3482</v>
      </c>
      <c r="AJ166" s="865"/>
      <c r="AK166" s="865"/>
      <c r="AL166" s="865"/>
    </row>
    <row r="167" spans="1:38" ht="13.5">
      <c r="A167" s="553"/>
      <c r="B167" s="553" t="s">
        <v>560</v>
      </c>
      <c r="C167" s="553"/>
      <c r="D167" s="553"/>
      <c r="E167" s="553"/>
      <c r="F167" s="553"/>
      <c r="G167" s="1980"/>
      <c r="H167" s="1980"/>
      <c r="I167" s="1980"/>
      <c r="J167" s="1980"/>
      <c r="K167" s="1980"/>
      <c r="L167" s="1980"/>
      <c r="M167" s="1980"/>
      <c r="N167" s="1980"/>
      <c r="O167" s="1980"/>
      <c r="P167" s="1980"/>
      <c r="Q167" s="1980"/>
      <c r="R167" s="1980"/>
      <c r="S167" s="1980"/>
      <c r="T167" s="1980"/>
      <c r="U167" s="1980"/>
      <c r="V167" s="1980"/>
      <c r="W167" s="1980"/>
      <c r="X167" s="558"/>
      <c r="AH167" s="861" t="str">
        <f>HYPERLINK("#A109：X162")</f>
        <v>#A109：X162</v>
      </c>
      <c r="AI167" s="864" t="s">
        <v>3483</v>
      </c>
      <c r="AJ167" s="865"/>
      <c r="AK167" s="865"/>
      <c r="AL167" s="865"/>
    </row>
    <row r="168" spans="1:38" ht="13.5">
      <c r="A168" s="553"/>
      <c r="B168" s="553"/>
      <c r="C168" s="553"/>
      <c r="D168" s="553"/>
      <c r="E168" s="553"/>
      <c r="F168" s="553"/>
      <c r="G168" s="1980"/>
      <c r="H168" s="1980"/>
      <c r="I168" s="1980"/>
      <c r="J168" s="1980"/>
      <c r="K168" s="1980"/>
      <c r="L168" s="1980"/>
      <c r="M168" s="1980"/>
      <c r="N168" s="1980"/>
      <c r="O168" s="1980"/>
      <c r="P168" s="1980"/>
      <c r="Q168" s="1980"/>
      <c r="R168" s="1980"/>
      <c r="S168" s="1980"/>
      <c r="T168" s="1980"/>
      <c r="U168" s="1980"/>
      <c r="V168" s="1980"/>
      <c r="W168" s="1980"/>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1988"/>
      <c r="I169" s="1988"/>
      <c r="J169" s="1988"/>
      <c r="K169" s="1988"/>
      <c r="L169" s="1988"/>
      <c r="M169" s="1988"/>
      <c r="N169" s="1988"/>
      <c r="O169" s="1988"/>
      <c r="P169" s="1988"/>
      <c r="Q169" s="1988"/>
      <c r="R169" s="1988"/>
      <c r="S169" s="1988"/>
      <c r="T169" s="1988"/>
      <c r="U169" s="1988"/>
      <c r="V169" s="1988"/>
      <c r="W169" s="1988"/>
      <c r="X169" s="553"/>
    </row>
    <row r="170" spans="1:38" ht="13.5">
      <c r="A170" s="553"/>
      <c r="B170" s="553" t="s">
        <v>3407</v>
      </c>
      <c r="C170" s="553"/>
      <c r="D170" s="553"/>
      <c r="E170" s="553"/>
      <c r="F170" s="553"/>
      <c r="G170" s="1980"/>
      <c r="H170" s="1980"/>
      <c r="I170" s="1980"/>
      <c r="J170" s="1980"/>
      <c r="K170" s="1980"/>
      <c r="L170" s="1980"/>
      <c r="M170" s="1980"/>
      <c r="N170" s="1980"/>
      <c r="O170" s="1980"/>
      <c r="P170" s="1980"/>
      <c r="Q170" s="1980"/>
      <c r="R170" s="1980"/>
      <c r="S170" s="1980"/>
      <c r="T170" s="1980"/>
      <c r="U170" s="1980"/>
      <c r="V170" s="1980"/>
      <c r="W170" s="1980"/>
      <c r="X170" s="558"/>
    </row>
    <row r="171" spans="1:38" ht="13.5">
      <c r="A171" s="553"/>
      <c r="B171" s="553"/>
      <c r="C171" s="553"/>
      <c r="D171" s="553"/>
      <c r="E171" s="553"/>
      <c r="F171" s="553"/>
      <c r="G171" s="1980"/>
      <c r="H171" s="1980"/>
      <c r="I171" s="1980"/>
      <c r="J171" s="1980"/>
      <c r="K171" s="1980"/>
      <c r="L171" s="1980"/>
      <c r="M171" s="1980"/>
      <c r="N171" s="1980"/>
      <c r="O171" s="1980"/>
      <c r="P171" s="1980"/>
      <c r="Q171" s="1980"/>
      <c r="R171" s="1980"/>
      <c r="S171" s="1980"/>
      <c r="T171" s="1980"/>
      <c r="U171" s="1980"/>
      <c r="V171" s="1980"/>
      <c r="W171" s="1980"/>
      <c r="X171" s="558"/>
    </row>
    <row r="172" spans="1:38" ht="13.5">
      <c r="A172" s="553"/>
      <c r="B172" s="553" t="s">
        <v>555</v>
      </c>
      <c r="C172" s="553"/>
      <c r="D172" s="553"/>
      <c r="E172" s="553"/>
      <c r="F172" s="553"/>
      <c r="G172" s="1989"/>
      <c r="H172" s="1989"/>
      <c r="I172" s="1989"/>
      <c r="J172" s="1989"/>
      <c r="K172" s="1989"/>
      <c r="L172" s="1989"/>
      <c r="M172" s="1989"/>
      <c r="N172" s="1989"/>
      <c r="O172" s="1989"/>
      <c r="P172" s="1989"/>
      <c r="Q172" s="1989"/>
      <c r="R172" s="1989"/>
      <c r="S172" s="1989"/>
      <c r="T172" s="1989"/>
      <c r="U172" s="1989"/>
      <c r="V172" s="1989"/>
      <c r="W172" s="1989"/>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G172:W172"/>
    <mergeCell ref="G114:W114"/>
    <mergeCell ref="H115:W115"/>
    <mergeCell ref="G116:W117"/>
    <mergeCell ref="G118:W118"/>
    <mergeCell ref="B121:W122"/>
    <mergeCell ref="A163:X163"/>
    <mergeCell ref="G166:W166"/>
    <mergeCell ref="G167:W168"/>
    <mergeCell ref="H169:W169"/>
    <mergeCell ref="G170:W171"/>
    <mergeCell ref="A125:X156"/>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H93:W93"/>
    <mergeCell ref="G94:W95"/>
    <mergeCell ref="G96:W96"/>
    <mergeCell ref="J97:W97"/>
    <mergeCell ref="G100:H100"/>
    <mergeCell ref="K100:N100"/>
    <mergeCell ref="Q100:V100"/>
    <mergeCell ref="G92:W92"/>
    <mergeCell ref="H82:W82"/>
    <mergeCell ref="G83:W84"/>
    <mergeCell ref="G85:W85"/>
    <mergeCell ref="J86:W86"/>
    <mergeCell ref="G89:H89"/>
    <mergeCell ref="K89:N89"/>
    <mergeCell ref="Q89:V89"/>
    <mergeCell ref="G90:W90"/>
    <mergeCell ref="G91:H91"/>
    <mergeCell ref="I91:K91"/>
    <mergeCell ref="L91:N91"/>
    <mergeCell ref="R91:V91"/>
    <mergeCell ref="G81:W81"/>
    <mergeCell ref="H71:W71"/>
    <mergeCell ref="G72:W73"/>
    <mergeCell ref="G74:W74"/>
    <mergeCell ref="G78:H78"/>
    <mergeCell ref="K78:N78"/>
    <mergeCell ref="Q78:V78"/>
    <mergeCell ref="G79:W79"/>
    <mergeCell ref="G80:H80"/>
    <mergeCell ref="I80:K80"/>
    <mergeCell ref="L80:N80"/>
    <mergeCell ref="R80:V80"/>
    <mergeCell ref="G70:W70"/>
    <mergeCell ref="H61:W61"/>
    <mergeCell ref="G62:W63"/>
    <mergeCell ref="G64:W64"/>
    <mergeCell ref="G67:H67"/>
    <mergeCell ref="K67:N67"/>
    <mergeCell ref="Q67:V67"/>
    <mergeCell ref="G68:W68"/>
    <mergeCell ref="G69:H69"/>
    <mergeCell ref="I69:K69"/>
    <mergeCell ref="L69:N69"/>
    <mergeCell ref="R69:V69"/>
    <mergeCell ref="G59:W60"/>
    <mergeCell ref="A23:X24"/>
    <mergeCell ref="A26:X26"/>
    <mergeCell ref="B30:H30"/>
    <mergeCell ref="J30:Q30"/>
    <mergeCell ref="K31:P31"/>
    <mergeCell ref="B33:W34"/>
    <mergeCell ref="F41:W42"/>
    <mergeCell ref="C43:W43"/>
    <mergeCell ref="C44:W45"/>
    <mergeCell ref="A55:X55"/>
    <mergeCell ref="G58:W58"/>
    <mergeCell ref="C47:W48"/>
    <mergeCell ref="O52:U52"/>
    <mergeCell ref="Q21:W21"/>
    <mergeCell ref="A4:X5"/>
    <mergeCell ref="A6:X6"/>
    <mergeCell ref="Q13:W13"/>
    <mergeCell ref="Q14:W14"/>
    <mergeCell ref="Q15:W15"/>
    <mergeCell ref="Q16:W16"/>
    <mergeCell ref="Q17:W17"/>
    <mergeCell ref="Q18:W18"/>
    <mergeCell ref="Q19:W19"/>
    <mergeCell ref="Q20:W20"/>
    <mergeCell ref="Q8:X8"/>
  </mergeCells>
  <phoneticPr fontId="139"/>
  <dataValidations count="2">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100-000000000000}">
      <formula1>$AE$68:$AE$118</formula1>
    </dataValidation>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100-000001000000}">
      <formula1>$AC$68:$AC$115</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5222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5222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5223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5223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5223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5223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5223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5223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5223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 imeMode="halfAlpha" allowBlank="1" showInputMessage="1" showErrorMessage="1" xr:uid="{00000000-0002-0000-1A00-000003000000}">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1967" t="s">
        <v>2820</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3482</v>
      </c>
      <c r="AJ4" s="865"/>
      <c r="AK4" s="865"/>
      <c r="AL4" s="865"/>
    </row>
    <row r="5" spans="1:38" ht="13.5">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c r="AH5" s="861" t="str">
        <f>HYPERLINK("#A109：X162")</f>
        <v>#A109：X162</v>
      </c>
      <c r="AI5" s="864" t="s">
        <v>3483</v>
      </c>
      <c r="AJ5" s="865"/>
      <c r="AK5" s="865"/>
      <c r="AL5" s="865"/>
    </row>
    <row r="6" spans="1:38" ht="13.5">
      <c r="A6" s="1904" t="s">
        <v>3484</v>
      </c>
      <c r="B6" s="1904"/>
      <c r="C6" s="1904"/>
      <c r="D6" s="1904"/>
      <c r="E6" s="1904"/>
      <c r="F6" s="1904"/>
      <c r="G6" s="1904"/>
      <c r="H6" s="1904"/>
      <c r="I6" s="1904"/>
      <c r="J6" s="1904"/>
      <c r="K6" s="1904"/>
      <c r="L6" s="1904"/>
      <c r="M6" s="1904"/>
      <c r="N6" s="1904"/>
      <c r="O6" s="1904"/>
      <c r="P6" s="1904"/>
      <c r="Q6" s="1904"/>
      <c r="R6" s="1904"/>
      <c r="S6" s="1904"/>
      <c r="T6" s="1904"/>
      <c r="U6" s="1904"/>
      <c r="V6" s="1904"/>
      <c r="W6" s="1904"/>
      <c r="X6" s="1904"/>
      <c r="AH6" s="861" t="str">
        <f>HYPERLINK("#A163：X216")</f>
        <v>#A163：X216</v>
      </c>
      <c r="AI6" s="864" t="s">
        <v>3485</v>
      </c>
      <c r="AJ6" s="865"/>
      <c r="AK6" s="865"/>
      <c r="AL6" s="865"/>
    </row>
    <row r="8" spans="1:38" ht="13.5">
      <c r="Q8" s="1979" t="s">
        <v>3727</v>
      </c>
      <c r="R8" s="1979"/>
      <c r="S8" s="1979"/>
      <c r="T8" s="1979"/>
      <c r="U8" s="1979"/>
      <c r="V8" s="1979"/>
      <c r="W8" s="1979"/>
      <c r="X8" s="1979"/>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1966" t="str">
        <f>cst_wskakunin_owner1_JIMU_NAME</f>
        <v/>
      </c>
      <c r="R13" s="1966"/>
      <c r="S13" s="1966"/>
      <c r="T13" s="1966"/>
      <c r="U13" s="1966"/>
      <c r="V13" s="1966"/>
      <c r="W13" s="1966"/>
    </row>
    <row r="14" spans="1:38" ht="13.5">
      <c r="O14" s="868" t="s">
        <v>3468</v>
      </c>
      <c r="Q14" s="1966" t="str">
        <f>cst_wskakunin_owner1__space2</f>
        <v/>
      </c>
      <c r="R14" s="1966"/>
      <c r="S14" s="1966"/>
      <c r="T14" s="1966"/>
      <c r="U14" s="1966"/>
      <c r="V14" s="1966"/>
      <c r="W14" s="1966"/>
    </row>
    <row r="15" spans="1:38" ht="13.5">
      <c r="Q15" s="1966" t="str">
        <f>cst_wskakunin_owner2_JIMU_NAME</f>
        <v/>
      </c>
      <c r="R15" s="1966"/>
      <c r="S15" s="1966"/>
      <c r="T15" s="1966"/>
      <c r="U15" s="1966"/>
      <c r="V15" s="1966"/>
      <c r="W15" s="1966"/>
      <c r="X15" s="869"/>
    </row>
    <row r="16" spans="1:38" ht="13.5">
      <c r="Q16" s="1966" t="str">
        <f>cst_wskakunin_owner2__space2</f>
        <v/>
      </c>
      <c r="R16" s="1966"/>
      <c r="S16" s="1966"/>
      <c r="T16" s="1966"/>
      <c r="U16" s="1966"/>
      <c r="V16" s="1966"/>
      <c r="W16" s="1966"/>
      <c r="X16" s="869"/>
    </row>
    <row r="17" spans="1:24" ht="13.5">
      <c r="Q17" s="1966" t="str">
        <f>cst_wskakunin_owner3_JIMU_NAME</f>
        <v/>
      </c>
      <c r="R17" s="1966"/>
      <c r="S17" s="1966"/>
      <c r="T17" s="1966"/>
      <c r="U17" s="1966"/>
      <c r="V17" s="1966"/>
      <c r="W17" s="1966"/>
      <c r="X17" s="870"/>
    </row>
    <row r="18" spans="1:24" ht="13.5">
      <c r="Q18" s="1966" t="str">
        <f>cst_wskakunin_owner3__space2</f>
        <v/>
      </c>
      <c r="R18" s="1966"/>
      <c r="S18" s="1966"/>
      <c r="T18" s="1966"/>
      <c r="U18" s="1966"/>
      <c r="V18" s="1966"/>
      <c r="W18" s="1966"/>
      <c r="X18" s="870"/>
    </row>
    <row r="19" spans="1:24" ht="13.5">
      <c r="O19" s="868" t="s">
        <v>3486</v>
      </c>
      <c r="Q19" s="1978"/>
      <c r="R19" s="1978"/>
      <c r="S19" s="1978"/>
      <c r="T19" s="1978"/>
      <c r="U19" s="1978"/>
      <c r="V19" s="1978"/>
      <c r="W19" s="1978"/>
      <c r="X19" s="857" t="s">
        <v>6</v>
      </c>
    </row>
    <row r="20" spans="1:24" ht="13.5">
      <c r="Q20" s="1978"/>
      <c r="R20" s="1978"/>
      <c r="S20" s="1978"/>
      <c r="T20" s="1978"/>
      <c r="U20" s="1978"/>
      <c r="V20" s="1978"/>
      <c r="W20" s="1978"/>
      <c r="X20" s="867" t="str">
        <f>IF(Q20="","","印")</f>
        <v/>
      </c>
    </row>
    <row r="21" spans="1:24" ht="13.5">
      <c r="Q21" s="1978"/>
      <c r="R21" s="1978"/>
      <c r="S21" s="1978"/>
      <c r="T21" s="1978"/>
      <c r="U21" s="1978"/>
      <c r="V21" s="1978"/>
      <c r="W21" s="1978"/>
      <c r="X21" s="867" t="str">
        <f>IF(Q21="","","印")</f>
        <v/>
      </c>
    </row>
    <row r="23" spans="1:24" ht="13.5">
      <c r="A23" s="1974" t="s">
        <v>3487</v>
      </c>
      <c r="B23" s="1974"/>
      <c r="C23" s="1974"/>
      <c r="D23" s="1974"/>
      <c r="E23" s="1974"/>
      <c r="F23" s="1974"/>
      <c r="G23" s="1974"/>
      <c r="H23" s="1974"/>
      <c r="I23" s="1974"/>
      <c r="J23" s="1974"/>
      <c r="K23" s="1974"/>
      <c r="L23" s="1974"/>
      <c r="M23" s="1974"/>
      <c r="N23" s="1974"/>
      <c r="O23" s="1974"/>
      <c r="P23" s="1974"/>
      <c r="Q23" s="1974"/>
      <c r="R23" s="1974"/>
      <c r="S23" s="1974"/>
      <c r="T23" s="1974"/>
      <c r="U23" s="1974"/>
      <c r="V23" s="1974"/>
      <c r="W23" s="1974"/>
      <c r="X23" s="1974"/>
    </row>
    <row r="24" spans="1:24" ht="13.5">
      <c r="A24" s="1974"/>
      <c r="B24" s="1974"/>
      <c r="C24" s="1974"/>
      <c r="D24" s="1974"/>
      <c r="E24" s="1974"/>
      <c r="F24" s="1974"/>
      <c r="G24" s="1974"/>
      <c r="H24" s="1974"/>
      <c r="I24" s="1974"/>
      <c r="J24" s="1974"/>
      <c r="K24" s="1974"/>
      <c r="L24" s="1974"/>
      <c r="M24" s="1974"/>
      <c r="N24" s="1974"/>
      <c r="O24" s="1974"/>
      <c r="P24" s="1974"/>
      <c r="Q24" s="1974"/>
      <c r="R24" s="1974"/>
      <c r="S24" s="1974"/>
      <c r="T24" s="1974"/>
      <c r="U24" s="1974"/>
      <c r="V24" s="1974"/>
      <c r="W24" s="1974"/>
      <c r="X24" s="1974"/>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1971" t="s">
        <v>3490</v>
      </c>
      <c r="C30" s="1971"/>
      <c r="D30" s="1971"/>
      <c r="E30" s="1971"/>
      <c r="F30" s="1971"/>
      <c r="G30" s="1971"/>
      <c r="H30" s="1971"/>
      <c r="J30" s="1997" t="str">
        <f>IF(目次・入力シート!$BJ$33="","＜目次・入力シートに入力して下さい＞",目次・入力シート!$BJ$33)</f>
        <v>＜目次・入力シートに入力して下さい＞</v>
      </c>
      <c r="K30" s="1997"/>
      <c r="L30" s="1997"/>
      <c r="M30" s="1997"/>
      <c r="N30" s="1997"/>
      <c r="O30" s="1997"/>
      <c r="P30" s="1997"/>
      <c r="Q30" s="1997"/>
    </row>
    <row r="31" spans="1:24" ht="13.5">
      <c r="B31" s="857" t="s">
        <v>3491</v>
      </c>
      <c r="J31" s="871" t="s">
        <v>374</v>
      </c>
      <c r="K31" s="1998" t="str">
        <f>IF(目次・入力シート!$BK$31="","＜目次・入力シートに入力してください＞",目次・入力シート!$BK$31)</f>
        <v>＜目次・入力シートに入力してください＞</v>
      </c>
      <c r="L31" s="1998"/>
      <c r="M31" s="1998"/>
      <c r="N31" s="1998"/>
      <c r="O31" s="1998"/>
      <c r="P31" s="1998"/>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1983" t="str">
        <f>cst_wskakunin_BUILD__address</f>
        <v/>
      </c>
      <c r="C33" s="1983"/>
      <c r="D33" s="1983"/>
      <c r="E33" s="1983"/>
      <c r="F33" s="1983"/>
      <c r="G33" s="1983"/>
      <c r="H33" s="1983"/>
      <c r="I33" s="1983"/>
      <c r="J33" s="1983"/>
      <c r="K33" s="1983"/>
      <c r="L33" s="1983"/>
      <c r="M33" s="1983"/>
      <c r="N33" s="1983"/>
      <c r="O33" s="1983"/>
      <c r="P33" s="1983"/>
      <c r="Q33" s="1983"/>
      <c r="R33" s="1983"/>
      <c r="S33" s="1983"/>
      <c r="T33" s="1983"/>
      <c r="U33" s="1983"/>
      <c r="V33" s="1983"/>
      <c r="W33" s="1983"/>
    </row>
    <row r="34" spans="1:24" ht="13.5">
      <c r="A34" s="872"/>
      <c r="B34" s="1983"/>
      <c r="C34" s="1983"/>
      <c r="D34" s="1983"/>
      <c r="E34" s="1983"/>
      <c r="F34" s="1983"/>
      <c r="G34" s="1983"/>
      <c r="H34" s="1983"/>
      <c r="I34" s="1983"/>
      <c r="J34" s="1983"/>
      <c r="K34" s="1983"/>
      <c r="L34" s="1983"/>
      <c r="M34" s="1983"/>
      <c r="N34" s="1983"/>
      <c r="O34" s="1983"/>
      <c r="P34" s="1983"/>
      <c r="Q34" s="1983"/>
      <c r="R34" s="1983"/>
      <c r="S34" s="1983"/>
      <c r="T34" s="1983"/>
      <c r="U34" s="1983"/>
      <c r="V34" s="1983"/>
      <c r="W34" s="1983"/>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1984"/>
      <c r="G41" s="1984"/>
      <c r="H41" s="1984"/>
      <c r="I41" s="1984"/>
      <c r="J41" s="1984"/>
      <c r="K41" s="1984"/>
      <c r="L41" s="1984"/>
      <c r="M41" s="1984"/>
      <c r="N41" s="1984"/>
      <c r="O41" s="1984"/>
      <c r="P41" s="1984"/>
      <c r="Q41" s="1984"/>
      <c r="R41" s="1984"/>
      <c r="S41" s="1984"/>
      <c r="T41" s="1984"/>
      <c r="U41" s="1984"/>
      <c r="V41" s="1984"/>
      <c r="W41" s="1984"/>
      <c r="X41" s="872"/>
    </row>
    <row r="42" spans="1:24" ht="13.5">
      <c r="A42" s="872"/>
      <c r="B42" s="872"/>
      <c r="C42" s="872"/>
      <c r="D42" s="872"/>
      <c r="E42" s="872"/>
      <c r="F42" s="1985"/>
      <c r="G42" s="1985"/>
      <c r="H42" s="1985"/>
      <c r="I42" s="1985"/>
      <c r="J42" s="1985"/>
      <c r="K42" s="1985"/>
      <c r="L42" s="1985"/>
      <c r="M42" s="1985"/>
      <c r="N42" s="1985"/>
      <c r="O42" s="1985"/>
      <c r="P42" s="1985"/>
      <c r="Q42" s="1985"/>
      <c r="R42" s="1985"/>
      <c r="S42" s="1985"/>
      <c r="T42" s="1985"/>
      <c r="U42" s="1985"/>
      <c r="V42" s="1985"/>
      <c r="W42" s="1985"/>
      <c r="X42" s="872"/>
    </row>
    <row r="43" spans="1:24" ht="13.5">
      <c r="A43" s="872"/>
      <c r="B43" s="932"/>
      <c r="C43" s="1972" t="s">
        <v>3500</v>
      </c>
      <c r="D43" s="1972"/>
      <c r="E43" s="1972"/>
      <c r="F43" s="1972"/>
      <c r="G43" s="1972"/>
      <c r="H43" s="1972"/>
      <c r="I43" s="1972"/>
      <c r="J43" s="1972"/>
      <c r="K43" s="1972"/>
      <c r="L43" s="1972"/>
      <c r="M43" s="1972"/>
      <c r="N43" s="1972"/>
      <c r="O43" s="1972"/>
      <c r="P43" s="1972"/>
      <c r="Q43" s="1972"/>
      <c r="R43" s="1972"/>
      <c r="S43" s="1972"/>
      <c r="T43" s="1972"/>
      <c r="U43" s="1972"/>
      <c r="V43" s="1972"/>
      <c r="W43" s="1972"/>
      <c r="X43" s="872"/>
    </row>
    <row r="44" spans="1:24" ht="13.5">
      <c r="C44" s="1978"/>
      <c r="D44" s="1978"/>
      <c r="E44" s="1978"/>
      <c r="F44" s="1978"/>
      <c r="G44" s="1978"/>
      <c r="H44" s="1978"/>
      <c r="I44" s="1978"/>
      <c r="J44" s="1978"/>
      <c r="K44" s="1978"/>
      <c r="L44" s="1978"/>
      <c r="M44" s="1978"/>
      <c r="N44" s="1978"/>
      <c r="O44" s="1978"/>
      <c r="P44" s="1978"/>
      <c r="Q44" s="1978"/>
      <c r="R44" s="1978"/>
      <c r="S44" s="1978"/>
      <c r="T44" s="1978"/>
      <c r="U44" s="1978"/>
      <c r="V44" s="1978"/>
      <c r="W44" s="1978"/>
    </row>
    <row r="45" spans="1:24" ht="13.5">
      <c r="C45" s="1986"/>
      <c r="D45" s="1986"/>
      <c r="E45" s="1986"/>
      <c r="F45" s="1986"/>
      <c r="G45" s="1986"/>
      <c r="H45" s="1986"/>
      <c r="I45" s="1986"/>
      <c r="J45" s="1986"/>
      <c r="K45" s="1986"/>
      <c r="L45" s="1986"/>
      <c r="M45" s="1986"/>
      <c r="N45" s="1986"/>
      <c r="O45" s="1986"/>
      <c r="P45" s="1986"/>
      <c r="Q45" s="1986"/>
      <c r="R45" s="1986"/>
      <c r="S45" s="1986"/>
      <c r="T45" s="1986"/>
      <c r="U45" s="1986"/>
      <c r="V45" s="1986"/>
      <c r="W45" s="1986"/>
    </row>
    <row r="46" spans="1:24" ht="15" customHeight="1">
      <c r="A46" s="857" t="s">
        <v>3662</v>
      </c>
    </row>
    <row r="47" spans="1:24" ht="15" customHeight="1">
      <c r="C47" s="1978"/>
      <c r="D47" s="1978"/>
      <c r="E47" s="1978"/>
      <c r="F47" s="1978"/>
      <c r="G47" s="1978"/>
      <c r="H47" s="1978"/>
      <c r="I47" s="1978"/>
      <c r="J47" s="1978"/>
      <c r="K47" s="1978"/>
      <c r="L47" s="1978"/>
      <c r="M47" s="1978"/>
      <c r="N47" s="1978"/>
      <c r="O47" s="1978"/>
      <c r="P47" s="1978"/>
      <c r="Q47" s="1978"/>
      <c r="R47" s="1978"/>
      <c r="S47" s="1978"/>
      <c r="T47" s="1978"/>
      <c r="U47" s="1978"/>
      <c r="V47" s="1978"/>
      <c r="W47" s="1978"/>
    </row>
    <row r="48" spans="1:24" ht="15" customHeight="1">
      <c r="C48" s="1986"/>
      <c r="D48" s="1986"/>
      <c r="E48" s="1986"/>
      <c r="F48" s="1986"/>
      <c r="G48" s="1986"/>
      <c r="H48" s="1986"/>
      <c r="I48" s="1986"/>
      <c r="J48" s="1986"/>
      <c r="K48" s="1986"/>
      <c r="L48" s="1986"/>
      <c r="M48" s="1986"/>
      <c r="N48" s="1986"/>
      <c r="O48" s="1986"/>
      <c r="P48" s="1986"/>
      <c r="Q48" s="1986"/>
      <c r="R48" s="1986"/>
      <c r="S48" s="1986"/>
      <c r="T48" s="1986"/>
      <c r="U48" s="1986"/>
      <c r="V48" s="1986"/>
      <c r="W48" s="1986"/>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1979" t="s">
        <v>3727</v>
      </c>
      <c r="P52" s="1979"/>
      <c r="Q52" s="1979"/>
      <c r="R52" s="1979"/>
      <c r="S52" s="1979"/>
      <c r="T52" s="1979"/>
      <c r="U52" s="1979"/>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1904" t="s">
        <v>3501</v>
      </c>
      <c r="B55" s="1904"/>
      <c r="C55" s="1904"/>
      <c r="D55" s="1904"/>
      <c r="E55" s="1904"/>
      <c r="F55" s="1904"/>
      <c r="G55" s="1904"/>
      <c r="H55" s="1904"/>
      <c r="I55" s="1904"/>
      <c r="J55" s="1904"/>
      <c r="K55" s="1904"/>
      <c r="L55" s="1904"/>
      <c r="M55" s="1904"/>
      <c r="N55" s="1904"/>
      <c r="O55" s="1904"/>
      <c r="P55" s="1904"/>
      <c r="Q55" s="1904"/>
      <c r="R55" s="1904"/>
      <c r="S55" s="1904"/>
      <c r="T55" s="1904"/>
      <c r="U55" s="1904"/>
      <c r="V55" s="1904"/>
      <c r="W55" s="1904"/>
      <c r="X55" s="1904"/>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1987" t="str">
        <f>IFERROR(PHONETIC(G59),"")</f>
        <v/>
      </c>
      <c r="H58" s="1987"/>
      <c r="I58" s="1987"/>
      <c r="J58" s="1987"/>
      <c r="K58" s="1987"/>
      <c r="L58" s="1987"/>
      <c r="M58" s="1987"/>
      <c r="N58" s="1987"/>
      <c r="O58" s="1987"/>
      <c r="P58" s="1987"/>
      <c r="Q58" s="1987"/>
      <c r="R58" s="1987"/>
      <c r="S58" s="1987"/>
      <c r="T58" s="1987"/>
      <c r="U58" s="1987"/>
      <c r="V58" s="1987"/>
      <c r="W58" s="1987"/>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1980"/>
      <c r="H59" s="1980"/>
      <c r="I59" s="1980"/>
      <c r="J59" s="1980"/>
      <c r="K59" s="1980"/>
      <c r="L59" s="1980"/>
      <c r="M59" s="1980"/>
      <c r="N59" s="1980"/>
      <c r="O59" s="1980"/>
      <c r="P59" s="1980"/>
      <c r="Q59" s="1980"/>
      <c r="R59" s="1980"/>
      <c r="S59" s="1980"/>
      <c r="T59" s="1980"/>
      <c r="U59" s="1980"/>
      <c r="V59" s="1980"/>
      <c r="W59" s="1980"/>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1980"/>
      <c r="H60" s="1980"/>
      <c r="I60" s="1980"/>
      <c r="J60" s="1980"/>
      <c r="K60" s="1980"/>
      <c r="L60" s="1980"/>
      <c r="M60" s="1980"/>
      <c r="N60" s="1980"/>
      <c r="O60" s="1980"/>
      <c r="P60" s="1980"/>
      <c r="Q60" s="1980"/>
      <c r="R60" s="1980"/>
      <c r="S60" s="1980"/>
      <c r="T60" s="1980"/>
      <c r="U60" s="1980"/>
      <c r="V60" s="1980"/>
      <c r="W60" s="1980"/>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1988"/>
      <c r="I61" s="1988"/>
      <c r="J61" s="1988"/>
      <c r="K61" s="1988"/>
      <c r="L61" s="1988"/>
      <c r="M61" s="1988"/>
      <c r="N61" s="1988"/>
      <c r="O61" s="1988"/>
      <c r="P61" s="1988"/>
      <c r="Q61" s="1988"/>
      <c r="R61" s="1988"/>
      <c r="S61" s="1988"/>
      <c r="T61" s="1988"/>
      <c r="U61" s="1988"/>
      <c r="V61" s="1988"/>
      <c r="W61" s="1988"/>
      <c r="X61" s="553"/>
      <c r="AA61" s="553"/>
      <c r="AC61" s="879"/>
      <c r="AH61" s="873"/>
      <c r="AI61" s="873"/>
      <c r="AJ61" s="873"/>
      <c r="AK61" s="873"/>
      <c r="AL61" s="873"/>
    </row>
    <row r="62" spans="1:38" s="554" customFormat="1" ht="13.5">
      <c r="A62" s="553"/>
      <c r="B62" s="553" t="s">
        <v>3407</v>
      </c>
      <c r="C62" s="553"/>
      <c r="D62" s="553"/>
      <c r="E62" s="553"/>
      <c r="F62" s="553"/>
      <c r="G62" s="1980"/>
      <c r="H62" s="1980"/>
      <c r="I62" s="1980"/>
      <c r="J62" s="1980"/>
      <c r="K62" s="1980"/>
      <c r="L62" s="1980"/>
      <c r="M62" s="1980"/>
      <c r="N62" s="1980"/>
      <c r="O62" s="1980"/>
      <c r="P62" s="1980"/>
      <c r="Q62" s="1980"/>
      <c r="R62" s="1980"/>
      <c r="S62" s="1980"/>
      <c r="T62" s="1980"/>
      <c r="U62" s="1980"/>
      <c r="V62" s="1980"/>
      <c r="W62" s="1980"/>
      <c r="X62" s="558"/>
      <c r="AA62" s="553"/>
      <c r="AC62" s="879"/>
      <c r="AH62" s="873"/>
      <c r="AI62" s="873"/>
      <c r="AJ62" s="873"/>
      <c r="AK62" s="873"/>
      <c r="AL62" s="873"/>
    </row>
    <row r="63" spans="1:38" s="554" customFormat="1" ht="13.5">
      <c r="A63" s="553"/>
      <c r="B63" s="553"/>
      <c r="C63" s="553"/>
      <c r="D63" s="553"/>
      <c r="E63" s="553"/>
      <c r="F63" s="553"/>
      <c r="G63" s="1980"/>
      <c r="H63" s="1980"/>
      <c r="I63" s="1980"/>
      <c r="J63" s="1980"/>
      <c r="K63" s="1980"/>
      <c r="L63" s="1980"/>
      <c r="M63" s="1980"/>
      <c r="N63" s="1980"/>
      <c r="O63" s="1980"/>
      <c r="P63" s="1980"/>
      <c r="Q63" s="1980"/>
      <c r="R63" s="1980"/>
      <c r="S63" s="1980"/>
      <c r="T63" s="1980"/>
      <c r="U63" s="1980"/>
      <c r="V63" s="1980"/>
      <c r="W63" s="1980"/>
      <c r="X63" s="558"/>
      <c r="AA63" s="553"/>
      <c r="AC63" s="879"/>
      <c r="AH63" s="873"/>
      <c r="AI63" s="873"/>
      <c r="AJ63" s="873"/>
      <c r="AK63" s="873"/>
      <c r="AL63" s="873"/>
    </row>
    <row r="64" spans="1:38" s="554" customFormat="1" ht="13.5">
      <c r="A64" s="553"/>
      <c r="B64" s="553" t="s">
        <v>555</v>
      </c>
      <c r="C64" s="553"/>
      <c r="D64" s="553"/>
      <c r="E64" s="553"/>
      <c r="F64" s="553"/>
      <c r="G64" s="1989"/>
      <c r="H64" s="1989"/>
      <c r="I64" s="1989"/>
      <c r="J64" s="1989"/>
      <c r="K64" s="1989"/>
      <c r="L64" s="1989"/>
      <c r="M64" s="1989"/>
      <c r="N64" s="1989"/>
      <c r="O64" s="1989"/>
      <c r="P64" s="1989"/>
      <c r="Q64" s="1989"/>
      <c r="R64" s="1989"/>
      <c r="S64" s="1989"/>
      <c r="T64" s="1989"/>
      <c r="U64" s="1989"/>
      <c r="V64" s="1989"/>
      <c r="W64" s="1989"/>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1990"/>
      <c r="H67" s="1990"/>
      <c r="I67" s="880" t="s">
        <v>552</v>
      </c>
      <c r="J67" s="881"/>
      <c r="K67" s="1990"/>
      <c r="L67" s="1990"/>
      <c r="M67" s="1990"/>
      <c r="N67" s="1990"/>
      <c r="O67" s="880" t="s">
        <v>558</v>
      </c>
      <c r="P67" s="881"/>
      <c r="Q67" s="1991"/>
      <c r="R67" s="1991"/>
      <c r="S67" s="1991"/>
      <c r="T67" s="1991"/>
      <c r="U67" s="1991"/>
      <c r="V67" s="1991"/>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1988"/>
      <c r="H68" s="1988"/>
      <c r="I68" s="1988"/>
      <c r="J68" s="1988"/>
      <c r="K68" s="1988"/>
      <c r="L68" s="1988"/>
      <c r="M68" s="1988"/>
      <c r="N68" s="1988"/>
      <c r="O68" s="1988"/>
      <c r="P68" s="1988"/>
      <c r="Q68" s="1988"/>
      <c r="R68" s="1988"/>
      <c r="S68" s="1988"/>
      <c r="T68" s="1988"/>
      <c r="U68" s="1988"/>
      <c r="V68" s="1988"/>
      <c r="W68" s="1988"/>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1990"/>
      <c r="H69" s="1990"/>
      <c r="I69" s="1992" t="s">
        <v>553</v>
      </c>
      <c r="J69" s="1992"/>
      <c r="K69" s="1992"/>
      <c r="L69" s="1990"/>
      <c r="M69" s="1990"/>
      <c r="N69" s="1990"/>
      <c r="O69" s="880" t="s">
        <v>559</v>
      </c>
      <c r="P69" s="881"/>
      <c r="Q69" s="880"/>
      <c r="R69" s="1991"/>
      <c r="S69" s="1991"/>
      <c r="T69" s="1991"/>
      <c r="U69" s="1991"/>
      <c r="V69" s="1991"/>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1988"/>
      <c r="H70" s="1988"/>
      <c r="I70" s="1988"/>
      <c r="J70" s="1988"/>
      <c r="K70" s="1988"/>
      <c r="L70" s="1988"/>
      <c r="M70" s="1988"/>
      <c r="N70" s="1988"/>
      <c r="O70" s="1988"/>
      <c r="P70" s="1988"/>
      <c r="Q70" s="1988"/>
      <c r="R70" s="1988"/>
      <c r="S70" s="1988"/>
      <c r="T70" s="1988"/>
      <c r="U70" s="1988"/>
      <c r="V70" s="1988"/>
      <c r="W70" s="1988"/>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1988"/>
      <c r="I71" s="1988"/>
      <c r="J71" s="1988"/>
      <c r="K71" s="1988"/>
      <c r="L71" s="1988"/>
      <c r="M71" s="1988"/>
      <c r="N71" s="1988"/>
      <c r="O71" s="1988"/>
      <c r="P71" s="1988"/>
      <c r="Q71" s="1988"/>
      <c r="R71" s="1988"/>
      <c r="S71" s="1988"/>
      <c r="T71" s="1988"/>
      <c r="U71" s="1988"/>
      <c r="V71" s="1988"/>
      <c r="W71" s="1988"/>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1980"/>
      <c r="H72" s="1980"/>
      <c r="I72" s="1980"/>
      <c r="J72" s="1980"/>
      <c r="K72" s="1980"/>
      <c r="L72" s="1980"/>
      <c r="M72" s="1980"/>
      <c r="N72" s="1980"/>
      <c r="O72" s="1980"/>
      <c r="P72" s="1980"/>
      <c r="Q72" s="1980"/>
      <c r="R72" s="1980"/>
      <c r="S72" s="1980"/>
      <c r="T72" s="1980"/>
      <c r="U72" s="1980"/>
      <c r="V72" s="1980"/>
      <c r="W72" s="1980"/>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1980"/>
      <c r="H73" s="1980"/>
      <c r="I73" s="1980"/>
      <c r="J73" s="1980"/>
      <c r="K73" s="1980"/>
      <c r="L73" s="1980"/>
      <c r="M73" s="1980"/>
      <c r="N73" s="1980"/>
      <c r="O73" s="1980"/>
      <c r="P73" s="1980"/>
      <c r="Q73" s="1980"/>
      <c r="R73" s="1980"/>
      <c r="S73" s="1980"/>
      <c r="T73" s="1980"/>
      <c r="U73" s="1980"/>
      <c r="V73" s="1980"/>
      <c r="W73" s="1980"/>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1989"/>
      <c r="H74" s="1989"/>
      <c r="I74" s="1989"/>
      <c r="J74" s="1989"/>
      <c r="K74" s="1989"/>
      <c r="L74" s="1989"/>
      <c r="M74" s="1989"/>
      <c r="N74" s="1989"/>
      <c r="O74" s="1989"/>
      <c r="P74" s="1989"/>
      <c r="Q74" s="1989"/>
      <c r="R74" s="1989"/>
      <c r="S74" s="1989"/>
      <c r="T74" s="1989"/>
      <c r="U74" s="1989"/>
      <c r="V74" s="1989"/>
      <c r="W74" s="1989"/>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1990"/>
      <c r="H78" s="1990"/>
      <c r="I78" s="880" t="s">
        <v>552</v>
      </c>
      <c r="J78" s="881"/>
      <c r="K78" s="1990"/>
      <c r="L78" s="1990"/>
      <c r="M78" s="1990"/>
      <c r="N78" s="1990"/>
      <c r="O78" s="880" t="s">
        <v>558</v>
      </c>
      <c r="P78" s="881"/>
      <c r="Q78" s="1991"/>
      <c r="R78" s="1991"/>
      <c r="S78" s="1991"/>
      <c r="T78" s="1991"/>
      <c r="U78" s="1991"/>
      <c r="V78" s="1991"/>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1988"/>
      <c r="H79" s="1988"/>
      <c r="I79" s="1988"/>
      <c r="J79" s="1988"/>
      <c r="K79" s="1988"/>
      <c r="L79" s="1988"/>
      <c r="M79" s="1988"/>
      <c r="N79" s="1988"/>
      <c r="O79" s="1988"/>
      <c r="P79" s="1988"/>
      <c r="Q79" s="1988"/>
      <c r="R79" s="1988"/>
      <c r="S79" s="1988"/>
      <c r="T79" s="1988"/>
      <c r="U79" s="1988"/>
      <c r="V79" s="1988"/>
      <c r="W79" s="1988"/>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1990"/>
      <c r="H80" s="1990"/>
      <c r="I80" s="1992" t="s">
        <v>553</v>
      </c>
      <c r="J80" s="1992"/>
      <c r="K80" s="1992"/>
      <c r="L80" s="1990"/>
      <c r="M80" s="1990"/>
      <c r="N80" s="1990"/>
      <c r="O80" s="880" t="s">
        <v>559</v>
      </c>
      <c r="P80" s="881"/>
      <c r="Q80" s="880"/>
      <c r="R80" s="1991"/>
      <c r="S80" s="1991"/>
      <c r="T80" s="1991"/>
      <c r="U80" s="1991"/>
      <c r="V80" s="1991"/>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1988"/>
      <c r="H81" s="1988"/>
      <c r="I81" s="1988"/>
      <c r="J81" s="1988"/>
      <c r="K81" s="1988"/>
      <c r="L81" s="1988"/>
      <c r="M81" s="1988"/>
      <c r="N81" s="1988"/>
      <c r="O81" s="1988"/>
      <c r="P81" s="1988"/>
      <c r="Q81" s="1988"/>
      <c r="R81" s="1988"/>
      <c r="S81" s="1988"/>
      <c r="T81" s="1988"/>
      <c r="U81" s="1988"/>
      <c r="V81" s="1988"/>
      <c r="W81" s="1988"/>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1988"/>
      <c r="I82" s="1988"/>
      <c r="J82" s="1988"/>
      <c r="K82" s="1988"/>
      <c r="L82" s="1988"/>
      <c r="M82" s="1988"/>
      <c r="N82" s="1988"/>
      <c r="O82" s="1988"/>
      <c r="P82" s="1988"/>
      <c r="Q82" s="1988"/>
      <c r="R82" s="1988"/>
      <c r="S82" s="1988"/>
      <c r="T82" s="1988"/>
      <c r="U82" s="1988"/>
      <c r="V82" s="1988"/>
      <c r="W82" s="1988"/>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1980"/>
      <c r="H83" s="1980"/>
      <c r="I83" s="1980"/>
      <c r="J83" s="1980"/>
      <c r="K83" s="1980"/>
      <c r="L83" s="1980"/>
      <c r="M83" s="1980"/>
      <c r="N83" s="1980"/>
      <c r="O83" s="1980"/>
      <c r="P83" s="1980"/>
      <c r="Q83" s="1980"/>
      <c r="R83" s="1980"/>
      <c r="S83" s="1980"/>
      <c r="T83" s="1980"/>
      <c r="U83" s="1980"/>
      <c r="V83" s="1980"/>
      <c r="W83" s="1980"/>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1980"/>
      <c r="H84" s="1980"/>
      <c r="I84" s="1980"/>
      <c r="J84" s="1980"/>
      <c r="K84" s="1980"/>
      <c r="L84" s="1980"/>
      <c r="M84" s="1980"/>
      <c r="N84" s="1980"/>
      <c r="O84" s="1980"/>
      <c r="P84" s="1980"/>
      <c r="Q84" s="1980"/>
      <c r="R84" s="1980"/>
      <c r="S84" s="1980"/>
      <c r="T84" s="1980"/>
      <c r="U84" s="1980"/>
      <c r="V84" s="1980"/>
      <c r="W84" s="1980"/>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1989"/>
      <c r="H85" s="1989"/>
      <c r="I85" s="1989"/>
      <c r="J85" s="1989"/>
      <c r="K85" s="1989"/>
      <c r="L85" s="1989"/>
      <c r="M85" s="1989"/>
      <c r="N85" s="1989"/>
      <c r="O85" s="1989"/>
      <c r="P85" s="1989"/>
      <c r="Q85" s="1989"/>
      <c r="R85" s="1989"/>
      <c r="S85" s="1989"/>
      <c r="T85" s="1989"/>
      <c r="U85" s="1989"/>
      <c r="V85" s="1989"/>
      <c r="W85" s="1989"/>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1993"/>
      <c r="K86" s="1993"/>
      <c r="L86" s="1993"/>
      <c r="M86" s="1993"/>
      <c r="N86" s="1993"/>
      <c r="O86" s="1993"/>
      <c r="P86" s="1993"/>
      <c r="Q86" s="1993"/>
      <c r="R86" s="1993"/>
      <c r="S86" s="1993"/>
      <c r="T86" s="1993"/>
      <c r="U86" s="1993"/>
      <c r="V86" s="1993"/>
      <c r="W86" s="1993"/>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1990"/>
      <c r="H89" s="1990"/>
      <c r="I89" s="880" t="s">
        <v>552</v>
      </c>
      <c r="J89" s="881"/>
      <c r="K89" s="1990"/>
      <c r="L89" s="1990"/>
      <c r="M89" s="1990"/>
      <c r="N89" s="1990"/>
      <c r="O89" s="880" t="s">
        <v>558</v>
      </c>
      <c r="P89" s="881"/>
      <c r="Q89" s="1991"/>
      <c r="R89" s="1991"/>
      <c r="S89" s="1991"/>
      <c r="T89" s="1991"/>
      <c r="U89" s="1991"/>
      <c r="V89" s="1991"/>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1988"/>
      <c r="H90" s="1988"/>
      <c r="I90" s="1988"/>
      <c r="J90" s="1988"/>
      <c r="K90" s="1988"/>
      <c r="L90" s="1988"/>
      <c r="M90" s="1988"/>
      <c r="N90" s="1988"/>
      <c r="O90" s="1988"/>
      <c r="P90" s="1988"/>
      <c r="Q90" s="1988"/>
      <c r="R90" s="1988"/>
      <c r="S90" s="1988"/>
      <c r="T90" s="1988"/>
      <c r="U90" s="1988"/>
      <c r="V90" s="1988"/>
      <c r="W90" s="1988"/>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1990"/>
      <c r="H91" s="1990"/>
      <c r="I91" s="1992" t="s">
        <v>553</v>
      </c>
      <c r="J91" s="1992"/>
      <c r="K91" s="1992"/>
      <c r="L91" s="1990"/>
      <c r="M91" s="1990"/>
      <c r="N91" s="1990"/>
      <c r="O91" s="880" t="s">
        <v>559</v>
      </c>
      <c r="P91" s="881"/>
      <c r="Q91" s="880"/>
      <c r="R91" s="1991"/>
      <c r="S91" s="1991"/>
      <c r="T91" s="1991"/>
      <c r="U91" s="1991"/>
      <c r="V91" s="1991"/>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1988"/>
      <c r="H92" s="1988"/>
      <c r="I92" s="1988"/>
      <c r="J92" s="1988"/>
      <c r="K92" s="1988"/>
      <c r="L92" s="1988"/>
      <c r="M92" s="1988"/>
      <c r="N92" s="1988"/>
      <c r="O92" s="1988"/>
      <c r="P92" s="1988"/>
      <c r="Q92" s="1988"/>
      <c r="R92" s="1988"/>
      <c r="S92" s="1988"/>
      <c r="T92" s="1988"/>
      <c r="U92" s="1988"/>
      <c r="V92" s="1988"/>
      <c r="W92" s="1988"/>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1988"/>
      <c r="I93" s="1988"/>
      <c r="J93" s="1988"/>
      <c r="K93" s="1988"/>
      <c r="L93" s="1988"/>
      <c r="M93" s="1988"/>
      <c r="N93" s="1988"/>
      <c r="O93" s="1988"/>
      <c r="P93" s="1988"/>
      <c r="Q93" s="1988"/>
      <c r="R93" s="1988"/>
      <c r="S93" s="1988"/>
      <c r="T93" s="1988"/>
      <c r="U93" s="1988"/>
      <c r="V93" s="1988"/>
      <c r="W93" s="1988"/>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1980"/>
      <c r="H94" s="1980"/>
      <c r="I94" s="1980"/>
      <c r="J94" s="1980"/>
      <c r="K94" s="1980"/>
      <c r="L94" s="1980"/>
      <c r="M94" s="1980"/>
      <c r="N94" s="1980"/>
      <c r="O94" s="1980"/>
      <c r="P94" s="1980"/>
      <c r="Q94" s="1980"/>
      <c r="R94" s="1980"/>
      <c r="S94" s="1980"/>
      <c r="T94" s="1980"/>
      <c r="U94" s="1980"/>
      <c r="V94" s="1980"/>
      <c r="W94" s="1980"/>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1980"/>
      <c r="H95" s="1980"/>
      <c r="I95" s="1980"/>
      <c r="J95" s="1980"/>
      <c r="K95" s="1980"/>
      <c r="L95" s="1980"/>
      <c r="M95" s="1980"/>
      <c r="N95" s="1980"/>
      <c r="O95" s="1980"/>
      <c r="P95" s="1980"/>
      <c r="Q95" s="1980"/>
      <c r="R95" s="1980"/>
      <c r="S95" s="1980"/>
      <c r="T95" s="1980"/>
      <c r="U95" s="1980"/>
      <c r="V95" s="1980"/>
      <c r="W95" s="1980"/>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1989"/>
      <c r="H96" s="1989"/>
      <c r="I96" s="1989"/>
      <c r="J96" s="1989"/>
      <c r="K96" s="1989"/>
      <c r="L96" s="1989"/>
      <c r="M96" s="1989"/>
      <c r="N96" s="1989"/>
      <c r="O96" s="1989"/>
      <c r="P96" s="1989"/>
      <c r="Q96" s="1989"/>
      <c r="R96" s="1989"/>
      <c r="S96" s="1989"/>
      <c r="T96" s="1989"/>
      <c r="U96" s="1989"/>
      <c r="V96" s="1989"/>
      <c r="W96" s="1989"/>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1993"/>
      <c r="K97" s="1993"/>
      <c r="L97" s="1993"/>
      <c r="M97" s="1993"/>
      <c r="N97" s="1993"/>
      <c r="O97" s="1993"/>
      <c r="P97" s="1993"/>
      <c r="Q97" s="1993"/>
      <c r="R97" s="1993"/>
      <c r="S97" s="1993"/>
      <c r="T97" s="1993"/>
      <c r="U97" s="1993"/>
      <c r="V97" s="1993"/>
      <c r="W97" s="1993"/>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1990"/>
      <c r="H100" s="1990"/>
      <c r="I100" s="880" t="s">
        <v>552</v>
      </c>
      <c r="J100" s="881"/>
      <c r="K100" s="1990"/>
      <c r="L100" s="1990"/>
      <c r="M100" s="1990"/>
      <c r="N100" s="1990"/>
      <c r="O100" s="880" t="s">
        <v>558</v>
      </c>
      <c r="P100" s="881"/>
      <c r="Q100" s="1991"/>
      <c r="R100" s="1991"/>
      <c r="S100" s="1991"/>
      <c r="T100" s="1991"/>
      <c r="U100" s="1991"/>
      <c r="V100" s="1991"/>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1988"/>
      <c r="H101" s="1988"/>
      <c r="I101" s="1988"/>
      <c r="J101" s="1988"/>
      <c r="K101" s="1988"/>
      <c r="L101" s="1988"/>
      <c r="M101" s="1988"/>
      <c r="N101" s="1988"/>
      <c r="O101" s="1988"/>
      <c r="P101" s="1988"/>
      <c r="Q101" s="1988"/>
      <c r="R101" s="1988"/>
      <c r="S101" s="1988"/>
      <c r="T101" s="1988"/>
      <c r="U101" s="1988"/>
      <c r="V101" s="1988"/>
      <c r="W101" s="1988"/>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1990"/>
      <c r="H102" s="1990"/>
      <c r="I102" s="1992" t="s">
        <v>553</v>
      </c>
      <c r="J102" s="1992"/>
      <c r="K102" s="1992"/>
      <c r="L102" s="1990"/>
      <c r="M102" s="1990"/>
      <c r="N102" s="1990"/>
      <c r="O102" s="880" t="s">
        <v>559</v>
      </c>
      <c r="P102" s="881"/>
      <c r="Q102" s="880"/>
      <c r="R102" s="1991"/>
      <c r="S102" s="1991"/>
      <c r="T102" s="1991"/>
      <c r="U102" s="1991"/>
      <c r="V102" s="1991"/>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1988"/>
      <c r="H103" s="1988"/>
      <c r="I103" s="1988"/>
      <c r="J103" s="1988"/>
      <c r="K103" s="1988"/>
      <c r="L103" s="1988"/>
      <c r="M103" s="1988"/>
      <c r="N103" s="1988"/>
      <c r="O103" s="1988"/>
      <c r="P103" s="1988"/>
      <c r="Q103" s="1988"/>
      <c r="R103" s="1988"/>
      <c r="S103" s="1988"/>
      <c r="T103" s="1988"/>
      <c r="U103" s="1988"/>
      <c r="V103" s="1988"/>
      <c r="W103" s="1988"/>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1988"/>
      <c r="I104" s="1988"/>
      <c r="J104" s="1988"/>
      <c r="K104" s="1988"/>
      <c r="L104" s="1988"/>
      <c r="M104" s="1988"/>
      <c r="N104" s="1988"/>
      <c r="O104" s="1988"/>
      <c r="P104" s="1988"/>
      <c r="Q104" s="1988"/>
      <c r="R104" s="1988"/>
      <c r="S104" s="1988"/>
      <c r="T104" s="1988"/>
      <c r="U104" s="1988"/>
      <c r="V104" s="1988"/>
      <c r="W104" s="1988"/>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1980"/>
      <c r="H105" s="1980"/>
      <c r="I105" s="1980"/>
      <c r="J105" s="1980"/>
      <c r="K105" s="1980"/>
      <c r="L105" s="1980"/>
      <c r="M105" s="1980"/>
      <c r="N105" s="1980"/>
      <c r="O105" s="1980"/>
      <c r="P105" s="1980"/>
      <c r="Q105" s="1980"/>
      <c r="R105" s="1980"/>
      <c r="S105" s="1980"/>
      <c r="T105" s="1980"/>
      <c r="U105" s="1980"/>
      <c r="V105" s="1980"/>
      <c r="W105" s="1980"/>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1980"/>
      <c r="H106" s="1980"/>
      <c r="I106" s="1980"/>
      <c r="J106" s="1980"/>
      <c r="K106" s="1980"/>
      <c r="L106" s="1980"/>
      <c r="M106" s="1980"/>
      <c r="N106" s="1980"/>
      <c r="O106" s="1980"/>
      <c r="P106" s="1980"/>
      <c r="Q106" s="1980"/>
      <c r="R106" s="1980"/>
      <c r="S106" s="1980"/>
      <c r="T106" s="1980"/>
      <c r="U106" s="1980"/>
      <c r="V106" s="1980"/>
      <c r="W106" s="1980"/>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1989"/>
      <c r="H107" s="1989"/>
      <c r="I107" s="1989"/>
      <c r="J107" s="1989"/>
      <c r="K107" s="1989"/>
      <c r="L107" s="1989"/>
      <c r="M107" s="1989"/>
      <c r="N107" s="1989"/>
      <c r="O107" s="1989"/>
      <c r="P107" s="1989"/>
      <c r="Q107" s="1989"/>
      <c r="R107" s="1989"/>
      <c r="S107" s="1989"/>
      <c r="T107" s="1989"/>
      <c r="U107" s="1989"/>
      <c r="V107" s="1989"/>
      <c r="W107" s="1989"/>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1993"/>
      <c r="K108" s="1993"/>
      <c r="L108" s="1993"/>
      <c r="M108" s="1993"/>
      <c r="N108" s="1993"/>
      <c r="O108" s="1993"/>
      <c r="P108" s="1993"/>
      <c r="Q108" s="1993"/>
      <c r="R108" s="1993"/>
      <c r="S108" s="1993"/>
      <c r="T108" s="1993"/>
      <c r="U108" s="1993"/>
      <c r="V108" s="1993"/>
      <c r="W108" s="1993"/>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1980"/>
      <c r="H111" s="1980"/>
      <c r="I111" s="1980"/>
      <c r="J111" s="1980"/>
      <c r="K111" s="1980"/>
      <c r="L111" s="1980"/>
      <c r="M111" s="1980"/>
      <c r="N111" s="1980"/>
      <c r="O111" s="1980"/>
      <c r="P111" s="1980"/>
      <c r="Q111" s="1980"/>
      <c r="R111" s="1980"/>
      <c r="S111" s="1980"/>
      <c r="T111" s="1980"/>
      <c r="U111" s="1980"/>
      <c r="V111" s="1980"/>
      <c r="W111" s="1980"/>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1980"/>
      <c r="H112" s="1980"/>
      <c r="I112" s="1980"/>
      <c r="J112" s="1980"/>
      <c r="K112" s="1980"/>
      <c r="L112" s="1980"/>
      <c r="M112" s="1980"/>
      <c r="N112" s="1980"/>
      <c r="O112" s="1980"/>
      <c r="P112" s="1980"/>
      <c r="Q112" s="1980"/>
      <c r="R112" s="1980"/>
      <c r="S112" s="1980"/>
      <c r="T112" s="1980"/>
      <c r="U112" s="1980"/>
      <c r="V112" s="1980"/>
      <c r="W112" s="1980"/>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1990"/>
      <c r="L113" s="1990"/>
      <c r="M113" s="1990"/>
      <c r="N113" s="1990"/>
      <c r="O113" s="1994" t="s">
        <v>3425</v>
      </c>
      <c r="P113" s="1994"/>
      <c r="Q113" s="1991"/>
      <c r="R113" s="1991"/>
      <c r="S113" s="1991"/>
      <c r="T113" s="1991"/>
      <c r="U113" s="1991"/>
      <c r="V113" s="1991"/>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1988"/>
      <c r="H114" s="1988"/>
      <c r="I114" s="1988"/>
      <c r="J114" s="1988"/>
      <c r="K114" s="1988"/>
      <c r="L114" s="1988"/>
      <c r="M114" s="1988"/>
      <c r="N114" s="1988"/>
      <c r="O114" s="1988"/>
      <c r="P114" s="1988"/>
      <c r="Q114" s="1988"/>
      <c r="R114" s="1988"/>
      <c r="S114" s="1988"/>
      <c r="T114" s="1988"/>
      <c r="U114" s="1988"/>
      <c r="V114" s="1988"/>
      <c r="W114" s="1988"/>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1988"/>
      <c r="I115" s="1988"/>
      <c r="J115" s="1988"/>
      <c r="K115" s="1988"/>
      <c r="L115" s="1988"/>
      <c r="M115" s="1988"/>
      <c r="N115" s="1988"/>
      <c r="O115" s="1988"/>
      <c r="P115" s="1988"/>
      <c r="Q115" s="1988"/>
      <c r="R115" s="1988"/>
      <c r="S115" s="1988"/>
      <c r="T115" s="1988"/>
      <c r="U115" s="1988"/>
      <c r="V115" s="1988"/>
      <c r="W115" s="1988"/>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1980"/>
      <c r="H116" s="1980"/>
      <c r="I116" s="1980"/>
      <c r="J116" s="1980"/>
      <c r="K116" s="1980"/>
      <c r="L116" s="1980"/>
      <c r="M116" s="1980"/>
      <c r="N116" s="1980"/>
      <c r="O116" s="1980"/>
      <c r="P116" s="1980"/>
      <c r="Q116" s="1980"/>
      <c r="R116" s="1980"/>
      <c r="S116" s="1980"/>
      <c r="T116" s="1980"/>
      <c r="U116" s="1980"/>
      <c r="V116" s="1980"/>
      <c r="W116" s="1980"/>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1980"/>
      <c r="H117" s="1980"/>
      <c r="I117" s="1980"/>
      <c r="J117" s="1980"/>
      <c r="K117" s="1980"/>
      <c r="L117" s="1980"/>
      <c r="M117" s="1980"/>
      <c r="N117" s="1980"/>
      <c r="O117" s="1980"/>
      <c r="P117" s="1980"/>
      <c r="Q117" s="1980"/>
      <c r="R117" s="1980"/>
      <c r="S117" s="1980"/>
      <c r="T117" s="1980"/>
      <c r="U117" s="1980"/>
      <c r="V117" s="1980"/>
      <c r="W117" s="1980"/>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1989"/>
      <c r="H118" s="1989"/>
      <c r="I118" s="1989"/>
      <c r="J118" s="1989"/>
      <c r="K118" s="1989"/>
      <c r="L118" s="1989"/>
      <c r="M118" s="1989"/>
      <c r="N118" s="1989"/>
      <c r="O118" s="1989"/>
      <c r="P118" s="1989"/>
      <c r="Q118" s="1989"/>
      <c r="R118" s="1989"/>
      <c r="S118" s="1989"/>
      <c r="T118" s="1989"/>
      <c r="U118" s="1989"/>
      <c r="V118" s="1989"/>
      <c r="W118" s="1989"/>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1980"/>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557"/>
      <c r="AH121" s="873"/>
      <c r="AI121" s="873"/>
      <c r="AJ121" s="873"/>
      <c r="AK121" s="873"/>
      <c r="AL121" s="873"/>
    </row>
    <row r="122" spans="1:38" ht="13.5">
      <c r="A122" s="553"/>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1996" t="s">
        <v>3560</v>
      </c>
      <c r="B125" s="1996"/>
      <c r="C125" s="1996"/>
      <c r="D125" s="1996"/>
      <c r="E125" s="1996"/>
      <c r="F125" s="1996"/>
      <c r="G125" s="1996"/>
      <c r="H125" s="1996"/>
      <c r="I125" s="1996"/>
      <c r="J125" s="1996"/>
      <c r="K125" s="1996"/>
      <c r="L125" s="1996"/>
      <c r="M125" s="1996"/>
      <c r="N125" s="1996"/>
      <c r="O125" s="1996"/>
      <c r="P125" s="1996"/>
      <c r="Q125" s="1996"/>
      <c r="R125" s="1996"/>
      <c r="S125" s="1996"/>
      <c r="T125" s="1996"/>
      <c r="U125" s="1996"/>
      <c r="V125" s="1996"/>
      <c r="W125" s="1996"/>
      <c r="X125" s="1996"/>
    </row>
    <row r="126" spans="1:38" ht="13.5">
      <c r="A126" s="1996"/>
      <c r="B126" s="1996"/>
      <c r="C126" s="1996"/>
      <c r="D126" s="1996"/>
      <c r="E126" s="1996"/>
      <c r="F126" s="1996"/>
      <c r="G126" s="1996"/>
      <c r="H126" s="1996"/>
      <c r="I126" s="1996"/>
      <c r="J126" s="1996"/>
      <c r="K126" s="1996"/>
      <c r="L126" s="1996"/>
      <c r="M126" s="1996"/>
      <c r="N126" s="1996"/>
      <c r="O126" s="1996"/>
      <c r="P126" s="1996"/>
      <c r="Q126" s="1996"/>
      <c r="R126" s="1996"/>
      <c r="S126" s="1996"/>
      <c r="T126" s="1996"/>
      <c r="U126" s="1996"/>
      <c r="V126" s="1996"/>
      <c r="W126" s="1996"/>
      <c r="X126" s="1996"/>
    </row>
    <row r="127" spans="1:38" ht="13.5">
      <c r="A127" s="1996"/>
      <c r="B127" s="1996"/>
      <c r="C127" s="1996"/>
      <c r="D127" s="1996"/>
      <c r="E127" s="1996"/>
      <c r="F127" s="1996"/>
      <c r="G127" s="1996"/>
      <c r="H127" s="1996"/>
      <c r="I127" s="1996"/>
      <c r="J127" s="1996"/>
      <c r="K127" s="1996"/>
      <c r="L127" s="1996"/>
      <c r="M127" s="1996"/>
      <c r="N127" s="1996"/>
      <c r="O127" s="1996"/>
      <c r="P127" s="1996"/>
      <c r="Q127" s="1996"/>
      <c r="R127" s="1996"/>
      <c r="S127" s="1996"/>
      <c r="T127" s="1996"/>
      <c r="U127" s="1996"/>
      <c r="V127" s="1996"/>
      <c r="W127" s="1996"/>
      <c r="X127" s="1996"/>
    </row>
    <row r="128" spans="1:38" ht="13.5">
      <c r="A128" s="1996"/>
      <c r="B128" s="1996"/>
      <c r="C128" s="1996"/>
      <c r="D128" s="1996"/>
      <c r="E128" s="1996"/>
      <c r="F128" s="1996"/>
      <c r="G128" s="1996"/>
      <c r="H128" s="1996"/>
      <c r="I128" s="1996"/>
      <c r="J128" s="1996"/>
      <c r="K128" s="1996"/>
      <c r="L128" s="1996"/>
      <c r="M128" s="1996"/>
      <c r="N128" s="1996"/>
      <c r="O128" s="1996"/>
      <c r="P128" s="1996"/>
      <c r="Q128" s="1996"/>
      <c r="R128" s="1996"/>
      <c r="S128" s="1996"/>
      <c r="T128" s="1996"/>
      <c r="U128" s="1996"/>
      <c r="V128" s="1996"/>
      <c r="W128" s="1996"/>
      <c r="X128" s="1996"/>
    </row>
    <row r="129" spans="1:24" ht="13.5">
      <c r="A129" s="1996"/>
      <c r="B129" s="1996"/>
      <c r="C129" s="1996"/>
      <c r="D129" s="1996"/>
      <c r="E129" s="1996"/>
      <c r="F129" s="1996"/>
      <c r="G129" s="1996"/>
      <c r="H129" s="1996"/>
      <c r="I129" s="1996"/>
      <c r="J129" s="1996"/>
      <c r="K129" s="1996"/>
      <c r="L129" s="1996"/>
      <c r="M129" s="1996"/>
      <c r="N129" s="1996"/>
      <c r="O129" s="1996"/>
      <c r="P129" s="1996"/>
      <c r="Q129" s="1996"/>
      <c r="R129" s="1996"/>
      <c r="S129" s="1996"/>
      <c r="T129" s="1996"/>
      <c r="U129" s="1996"/>
      <c r="V129" s="1996"/>
      <c r="W129" s="1996"/>
      <c r="X129" s="1996"/>
    </row>
    <row r="130" spans="1:24" ht="13.5">
      <c r="A130" s="1996"/>
      <c r="B130" s="1996"/>
      <c r="C130" s="1996"/>
      <c r="D130" s="1996"/>
      <c r="E130" s="1996"/>
      <c r="F130" s="1996"/>
      <c r="G130" s="1996"/>
      <c r="H130" s="1996"/>
      <c r="I130" s="1996"/>
      <c r="J130" s="1996"/>
      <c r="K130" s="1996"/>
      <c r="L130" s="1996"/>
      <c r="M130" s="1996"/>
      <c r="N130" s="1996"/>
      <c r="O130" s="1996"/>
      <c r="P130" s="1996"/>
      <c r="Q130" s="1996"/>
      <c r="R130" s="1996"/>
      <c r="S130" s="1996"/>
      <c r="T130" s="1996"/>
      <c r="U130" s="1996"/>
      <c r="V130" s="1996"/>
      <c r="W130" s="1996"/>
      <c r="X130" s="1996"/>
    </row>
    <row r="131" spans="1:24" ht="13.5">
      <c r="A131" s="1996"/>
      <c r="B131" s="1996"/>
      <c r="C131" s="1996"/>
      <c r="D131" s="1996"/>
      <c r="E131" s="1996"/>
      <c r="F131" s="1996"/>
      <c r="G131" s="1996"/>
      <c r="H131" s="1996"/>
      <c r="I131" s="1996"/>
      <c r="J131" s="1996"/>
      <c r="K131" s="1996"/>
      <c r="L131" s="1996"/>
      <c r="M131" s="1996"/>
      <c r="N131" s="1996"/>
      <c r="O131" s="1996"/>
      <c r="P131" s="1996"/>
      <c r="Q131" s="1996"/>
      <c r="R131" s="1996"/>
      <c r="S131" s="1996"/>
      <c r="T131" s="1996"/>
      <c r="U131" s="1996"/>
      <c r="V131" s="1996"/>
      <c r="W131" s="1996"/>
      <c r="X131" s="1996"/>
    </row>
    <row r="132" spans="1:24" ht="13.5">
      <c r="A132" s="1996"/>
      <c r="B132" s="1996"/>
      <c r="C132" s="1996"/>
      <c r="D132" s="1996"/>
      <c r="E132" s="1996"/>
      <c r="F132" s="1996"/>
      <c r="G132" s="1996"/>
      <c r="H132" s="1996"/>
      <c r="I132" s="1996"/>
      <c r="J132" s="1996"/>
      <c r="K132" s="1996"/>
      <c r="L132" s="1996"/>
      <c r="M132" s="1996"/>
      <c r="N132" s="1996"/>
      <c r="O132" s="1996"/>
      <c r="P132" s="1996"/>
      <c r="Q132" s="1996"/>
      <c r="R132" s="1996"/>
      <c r="S132" s="1996"/>
      <c r="T132" s="1996"/>
      <c r="U132" s="1996"/>
      <c r="V132" s="1996"/>
      <c r="W132" s="1996"/>
      <c r="X132" s="1996"/>
    </row>
    <row r="133" spans="1:24" ht="13.5">
      <c r="A133" s="1996"/>
      <c r="B133" s="1996"/>
      <c r="C133" s="1996"/>
      <c r="D133" s="1996"/>
      <c r="E133" s="1996"/>
      <c r="F133" s="1996"/>
      <c r="G133" s="1996"/>
      <c r="H133" s="1996"/>
      <c r="I133" s="1996"/>
      <c r="J133" s="1996"/>
      <c r="K133" s="1996"/>
      <c r="L133" s="1996"/>
      <c r="M133" s="1996"/>
      <c r="N133" s="1996"/>
      <c r="O133" s="1996"/>
      <c r="P133" s="1996"/>
      <c r="Q133" s="1996"/>
      <c r="R133" s="1996"/>
      <c r="S133" s="1996"/>
      <c r="T133" s="1996"/>
      <c r="U133" s="1996"/>
      <c r="V133" s="1996"/>
      <c r="W133" s="1996"/>
      <c r="X133" s="1996"/>
    </row>
    <row r="134" spans="1:24" ht="13.5">
      <c r="A134" s="1996"/>
      <c r="B134" s="1996"/>
      <c r="C134" s="1996"/>
      <c r="D134" s="1996"/>
      <c r="E134" s="1996"/>
      <c r="F134" s="1996"/>
      <c r="G134" s="1996"/>
      <c r="H134" s="1996"/>
      <c r="I134" s="1996"/>
      <c r="J134" s="1996"/>
      <c r="K134" s="1996"/>
      <c r="L134" s="1996"/>
      <c r="M134" s="1996"/>
      <c r="N134" s="1996"/>
      <c r="O134" s="1996"/>
      <c r="P134" s="1996"/>
      <c r="Q134" s="1996"/>
      <c r="R134" s="1996"/>
      <c r="S134" s="1996"/>
      <c r="T134" s="1996"/>
      <c r="U134" s="1996"/>
      <c r="V134" s="1996"/>
      <c r="W134" s="1996"/>
      <c r="X134" s="1996"/>
    </row>
    <row r="135" spans="1:24" ht="13.5">
      <c r="A135" s="1996"/>
      <c r="B135" s="1996"/>
      <c r="C135" s="1996"/>
      <c r="D135" s="1996"/>
      <c r="E135" s="1996"/>
      <c r="F135" s="1996"/>
      <c r="G135" s="1996"/>
      <c r="H135" s="1996"/>
      <c r="I135" s="1996"/>
      <c r="J135" s="1996"/>
      <c r="K135" s="1996"/>
      <c r="L135" s="1996"/>
      <c r="M135" s="1996"/>
      <c r="N135" s="1996"/>
      <c r="O135" s="1996"/>
      <c r="P135" s="1996"/>
      <c r="Q135" s="1996"/>
      <c r="R135" s="1996"/>
      <c r="S135" s="1996"/>
      <c r="T135" s="1996"/>
      <c r="U135" s="1996"/>
      <c r="V135" s="1996"/>
      <c r="W135" s="1996"/>
      <c r="X135" s="1996"/>
    </row>
    <row r="136" spans="1:24" ht="13.5">
      <c r="A136" s="1996"/>
      <c r="B136" s="1996"/>
      <c r="C136" s="1996"/>
      <c r="D136" s="1996"/>
      <c r="E136" s="1996"/>
      <c r="F136" s="1996"/>
      <c r="G136" s="1996"/>
      <c r="H136" s="1996"/>
      <c r="I136" s="1996"/>
      <c r="J136" s="1996"/>
      <c r="K136" s="1996"/>
      <c r="L136" s="1996"/>
      <c r="M136" s="1996"/>
      <c r="N136" s="1996"/>
      <c r="O136" s="1996"/>
      <c r="P136" s="1996"/>
      <c r="Q136" s="1996"/>
      <c r="R136" s="1996"/>
      <c r="S136" s="1996"/>
      <c r="T136" s="1996"/>
      <c r="U136" s="1996"/>
      <c r="V136" s="1996"/>
      <c r="W136" s="1996"/>
      <c r="X136" s="1996"/>
    </row>
    <row r="137" spans="1:24" ht="13.5">
      <c r="A137" s="1996"/>
      <c r="B137" s="1996"/>
      <c r="C137" s="1996"/>
      <c r="D137" s="1996"/>
      <c r="E137" s="1996"/>
      <c r="F137" s="1996"/>
      <c r="G137" s="1996"/>
      <c r="H137" s="1996"/>
      <c r="I137" s="1996"/>
      <c r="J137" s="1996"/>
      <c r="K137" s="1996"/>
      <c r="L137" s="1996"/>
      <c r="M137" s="1996"/>
      <c r="N137" s="1996"/>
      <c r="O137" s="1996"/>
      <c r="P137" s="1996"/>
      <c r="Q137" s="1996"/>
      <c r="R137" s="1996"/>
      <c r="S137" s="1996"/>
      <c r="T137" s="1996"/>
      <c r="U137" s="1996"/>
      <c r="V137" s="1996"/>
      <c r="W137" s="1996"/>
      <c r="X137" s="1996"/>
    </row>
    <row r="138" spans="1:24" ht="13.5">
      <c r="A138" s="1996"/>
      <c r="B138" s="1996"/>
      <c r="C138" s="1996"/>
      <c r="D138" s="1996"/>
      <c r="E138" s="1996"/>
      <c r="F138" s="1996"/>
      <c r="G138" s="1996"/>
      <c r="H138" s="1996"/>
      <c r="I138" s="1996"/>
      <c r="J138" s="1996"/>
      <c r="K138" s="1996"/>
      <c r="L138" s="1996"/>
      <c r="M138" s="1996"/>
      <c r="N138" s="1996"/>
      <c r="O138" s="1996"/>
      <c r="P138" s="1996"/>
      <c r="Q138" s="1996"/>
      <c r="R138" s="1996"/>
      <c r="S138" s="1996"/>
      <c r="T138" s="1996"/>
      <c r="U138" s="1996"/>
      <c r="V138" s="1996"/>
      <c r="W138" s="1996"/>
      <c r="X138" s="1996"/>
    </row>
    <row r="139" spans="1:24" ht="13.5">
      <c r="A139" s="1996"/>
      <c r="B139" s="1996"/>
      <c r="C139" s="1996"/>
      <c r="D139" s="1996"/>
      <c r="E139" s="1996"/>
      <c r="F139" s="1996"/>
      <c r="G139" s="1996"/>
      <c r="H139" s="1996"/>
      <c r="I139" s="1996"/>
      <c r="J139" s="1996"/>
      <c r="K139" s="1996"/>
      <c r="L139" s="1996"/>
      <c r="M139" s="1996"/>
      <c r="N139" s="1996"/>
      <c r="O139" s="1996"/>
      <c r="P139" s="1996"/>
      <c r="Q139" s="1996"/>
      <c r="R139" s="1996"/>
      <c r="S139" s="1996"/>
      <c r="T139" s="1996"/>
      <c r="U139" s="1996"/>
      <c r="V139" s="1996"/>
      <c r="W139" s="1996"/>
      <c r="X139" s="1996"/>
    </row>
    <row r="140" spans="1:24" ht="13.5">
      <c r="A140" s="1996"/>
      <c r="B140" s="1996"/>
      <c r="C140" s="1996"/>
      <c r="D140" s="1996"/>
      <c r="E140" s="1996"/>
      <c r="F140" s="1996"/>
      <c r="G140" s="1996"/>
      <c r="H140" s="1996"/>
      <c r="I140" s="1996"/>
      <c r="J140" s="1996"/>
      <c r="K140" s="1996"/>
      <c r="L140" s="1996"/>
      <c r="M140" s="1996"/>
      <c r="N140" s="1996"/>
      <c r="O140" s="1996"/>
      <c r="P140" s="1996"/>
      <c r="Q140" s="1996"/>
      <c r="R140" s="1996"/>
      <c r="S140" s="1996"/>
      <c r="T140" s="1996"/>
      <c r="U140" s="1996"/>
      <c r="V140" s="1996"/>
      <c r="W140" s="1996"/>
      <c r="X140" s="1996"/>
    </row>
    <row r="141" spans="1:24" ht="13.5">
      <c r="A141" s="1996"/>
      <c r="B141" s="1996"/>
      <c r="C141" s="1996"/>
      <c r="D141" s="1996"/>
      <c r="E141" s="1996"/>
      <c r="F141" s="1996"/>
      <c r="G141" s="1996"/>
      <c r="H141" s="1996"/>
      <c r="I141" s="1996"/>
      <c r="J141" s="1996"/>
      <c r="K141" s="1996"/>
      <c r="L141" s="1996"/>
      <c r="M141" s="1996"/>
      <c r="N141" s="1996"/>
      <c r="O141" s="1996"/>
      <c r="P141" s="1996"/>
      <c r="Q141" s="1996"/>
      <c r="R141" s="1996"/>
      <c r="S141" s="1996"/>
      <c r="T141" s="1996"/>
      <c r="U141" s="1996"/>
      <c r="V141" s="1996"/>
      <c r="W141" s="1996"/>
      <c r="X141" s="1996"/>
    </row>
    <row r="142" spans="1:24" ht="13.5">
      <c r="A142" s="1996"/>
      <c r="B142" s="1996"/>
      <c r="C142" s="1996"/>
      <c r="D142" s="1996"/>
      <c r="E142" s="1996"/>
      <c r="F142" s="1996"/>
      <c r="G142" s="1996"/>
      <c r="H142" s="1996"/>
      <c r="I142" s="1996"/>
      <c r="J142" s="1996"/>
      <c r="K142" s="1996"/>
      <c r="L142" s="1996"/>
      <c r="M142" s="1996"/>
      <c r="N142" s="1996"/>
      <c r="O142" s="1996"/>
      <c r="P142" s="1996"/>
      <c r="Q142" s="1996"/>
      <c r="R142" s="1996"/>
      <c r="S142" s="1996"/>
      <c r="T142" s="1996"/>
      <c r="U142" s="1996"/>
      <c r="V142" s="1996"/>
      <c r="W142" s="1996"/>
      <c r="X142" s="1996"/>
    </row>
    <row r="143" spans="1:24" ht="13.5">
      <c r="A143" s="1996"/>
      <c r="B143" s="1996"/>
      <c r="C143" s="1996"/>
      <c r="D143" s="1996"/>
      <c r="E143" s="1996"/>
      <c r="F143" s="1996"/>
      <c r="G143" s="1996"/>
      <c r="H143" s="1996"/>
      <c r="I143" s="1996"/>
      <c r="J143" s="1996"/>
      <c r="K143" s="1996"/>
      <c r="L143" s="1996"/>
      <c r="M143" s="1996"/>
      <c r="N143" s="1996"/>
      <c r="O143" s="1996"/>
      <c r="P143" s="1996"/>
      <c r="Q143" s="1996"/>
      <c r="R143" s="1996"/>
      <c r="S143" s="1996"/>
      <c r="T143" s="1996"/>
      <c r="U143" s="1996"/>
      <c r="V143" s="1996"/>
      <c r="W143" s="1996"/>
      <c r="X143" s="1996"/>
    </row>
    <row r="144" spans="1:24" ht="13.5">
      <c r="A144" s="1996"/>
      <c r="B144" s="1996"/>
      <c r="C144" s="1996"/>
      <c r="D144" s="1996"/>
      <c r="E144" s="1996"/>
      <c r="F144" s="1996"/>
      <c r="G144" s="1996"/>
      <c r="H144" s="1996"/>
      <c r="I144" s="1996"/>
      <c r="J144" s="1996"/>
      <c r="K144" s="1996"/>
      <c r="L144" s="1996"/>
      <c r="M144" s="1996"/>
      <c r="N144" s="1996"/>
      <c r="O144" s="1996"/>
      <c r="P144" s="1996"/>
      <c r="Q144" s="1996"/>
      <c r="R144" s="1996"/>
      <c r="S144" s="1996"/>
      <c r="T144" s="1996"/>
      <c r="U144" s="1996"/>
      <c r="V144" s="1996"/>
      <c r="W144" s="1996"/>
      <c r="X144" s="1996"/>
    </row>
    <row r="145" spans="1:24" ht="13.5">
      <c r="A145" s="1996"/>
      <c r="B145" s="1996"/>
      <c r="C145" s="1996"/>
      <c r="D145" s="1996"/>
      <c r="E145" s="1996"/>
      <c r="F145" s="1996"/>
      <c r="G145" s="1996"/>
      <c r="H145" s="1996"/>
      <c r="I145" s="1996"/>
      <c r="J145" s="1996"/>
      <c r="K145" s="1996"/>
      <c r="L145" s="1996"/>
      <c r="M145" s="1996"/>
      <c r="N145" s="1996"/>
      <c r="O145" s="1996"/>
      <c r="P145" s="1996"/>
      <c r="Q145" s="1996"/>
      <c r="R145" s="1996"/>
      <c r="S145" s="1996"/>
      <c r="T145" s="1996"/>
      <c r="U145" s="1996"/>
      <c r="V145" s="1996"/>
      <c r="W145" s="1996"/>
      <c r="X145" s="1996"/>
    </row>
    <row r="146" spans="1:24" ht="15" customHeight="1">
      <c r="A146" s="1996"/>
      <c r="B146" s="1996"/>
      <c r="C146" s="1996"/>
      <c r="D146" s="1996"/>
      <c r="E146" s="1996"/>
      <c r="F146" s="1996"/>
      <c r="G146" s="1996"/>
      <c r="H146" s="1996"/>
      <c r="I146" s="1996"/>
      <c r="J146" s="1996"/>
      <c r="K146" s="1996"/>
      <c r="L146" s="1996"/>
      <c r="M146" s="1996"/>
      <c r="N146" s="1996"/>
      <c r="O146" s="1996"/>
      <c r="P146" s="1996"/>
      <c r="Q146" s="1996"/>
      <c r="R146" s="1996"/>
      <c r="S146" s="1996"/>
      <c r="T146" s="1996"/>
      <c r="U146" s="1996"/>
      <c r="V146" s="1996"/>
      <c r="W146" s="1996"/>
      <c r="X146" s="1996"/>
    </row>
    <row r="147" spans="1:24" ht="15" customHeight="1">
      <c r="A147" s="1996"/>
      <c r="B147" s="1996"/>
      <c r="C147" s="1996"/>
      <c r="D147" s="1996"/>
      <c r="E147" s="1996"/>
      <c r="F147" s="1996"/>
      <c r="G147" s="1996"/>
      <c r="H147" s="1996"/>
      <c r="I147" s="1996"/>
      <c r="J147" s="1996"/>
      <c r="K147" s="1996"/>
      <c r="L147" s="1996"/>
      <c r="M147" s="1996"/>
      <c r="N147" s="1996"/>
      <c r="O147" s="1996"/>
      <c r="P147" s="1996"/>
      <c r="Q147" s="1996"/>
      <c r="R147" s="1996"/>
      <c r="S147" s="1996"/>
      <c r="T147" s="1996"/>
      <c r="U147" s="1996"/>
      <c r="V147" s="1996"/>
      <c r="W147" s="1996"/>
      <c r="X147" s="1996"/>
    </row>
    <row r="148" spans="1:24" ht="15" customHeight="1">
      <c r="A148" s="1996"/>
      <c r="B148" s="1996"/>
      <c r="C148" s="1996"/>
      <c r="D148" s="1996"/>
      <c r="E148" s="1996"/>
      <c r="F148" s="1996"/>
      <c r="G148" s="1996"/>
      <c r="H148" s="1996"/>
      <c r="I148" s="1996"/>
      <c r="J148" s="1996"/>
      <c r="K148" s="1996"/>
      <c r="L148" s="1996"/>
      <c r="M148" s="1996"/>
      <c r="N148" s="1996"/>
      <c r="O148" s="1996"/>
      <c r="P148" s="1996"/>
      <c r="Q148" s="1996"/>
      <c r="R148" s="1996"/>
      <c r="S148" s="1996"/>
      <c r="T148" s="1996"/>
      <c r="U148" s="1996"/>
      <c r="V148" s="1996"/>
      <c r="W148" s="1996"/>
      <c r="X148" s="1996"/>
    </row>
    <row r="149" spans="1:24" ht="15" customHeight="1">
      <c r="A149" s="1996"/>
      <c r="B149" s="1996"/>
      <c r="C149" s="1996"/>
      <c r="D149" s="1996"/>
      <c r="E149" s="1996"/>
      <c r="F149" s="1996"/>
      <c r="G149" s="1996"/>
      <c r="H149" s="1996"/>
      <c r="I149" s="1996"/>
      <c r="J149" s="1996"/>
      <c r="K149" s="1996"/>
      <c r="L149" s="1996"/>
      <c r="M149" s="1996"/>
      <c r="N149" s="1996"/>
      <c r="O149" s="1996"/>
      <c r="P149" s="1996"/>
      <c r="Q149" s="1996"/>
      <c r="R149" s="1996"/>
      <c r="S149" s="1996"/>
      <c r="T149" s="1996"/>
      <c r="U149" s="1996"/>
      <c r="V149" s="1996"/>
      <c r="W149" s="1996"/>
      <c r="X149" s="1996"/>
    </row>
    <row r="150" spans="1:24" ht="15" customHeight="1">
      <c r="A150" s="1996"/>
      <c r="B150" s="1996"/>
      <c r="C150" s="1996"/>
      <c r="D150" s="1996"/>
      <c r="E150" s="1996"/>
      <c r="F150" s="1996"/>
      <c r="G150" s="1996"/>
      <c r="H150" s="1996"/>
      <c r="I150" s="1996"/>
      <c r="J150" s="1996"/>
      <c r="K150" s="1996"/>
      <c r="L150" s="1996"/>
      <c r="M150" s="1996"/>
      <c r="N150" s="1996"/>
      <c r="O150" s="1996"/>
      <c r="P150" s="1996"/>
      <c r="Q150" s="1996"/>
      <c r="R150" s="1996"/>
      <c r="S150" s="1996"/>
      <c r="T150" s="1996"/>
      <c r="U150" s="1996"/>
      <c r="V150" s="1996"/>
      <c r="W150" s="1996"/>
      <c r="X150" s="1996"/>
    </row>
    <row r="151" spans="1:24" ht="15" customHeight="1">
      <c r="A151" s="1996"/>
      <c r="B151" s="1996"/>
      <c r="C151" s="1996"/>
      <c r="D151" s="1996"/>
      <c r="E151" s="1996"/>
      <c r="F151" s="1996"/>
      <c r="G151" s="1996"/>
      <c r="H151" s="1996"/>
      <c r="I151" s="1996"/>
      <c r="J151" s="1996"/>
      <c r="K151" s="1996"/>
      <c r="L151" s="1996"/>
      <c r="M151" s="1996"/>
      <c r="N151" s="1996"/>
      <c r="O151" s="1996"/>
      <c r="P151" s="1996"/>
      <c r="Q151" s="1996"/>
      <c r="R151" s="1996"/>
      <c r="S151" s="1996"/>
      <c r="T151" s="1996"/>
      <c r="U151" s="1996"/>
      <c r="V151" s="1996"/>
      <c r="W151" s="1996"/>
      <c r="X151" s="1996"/>
    </row>
    <row r="152" spans="1:24" ht="15" customHeight="1">
      <c r="A152" s="1996"/>
      <c r="B152" s="1996"/>
      <c r="C152" s="1996"/>
      <c r="D152" s="1996"/>
      <c r="E152" s="1996"/>
      <c r="F152" s="1996"/>
      <c r="G152" s="1996"/>
      <c r="H152" s="1996"/>
      <c r="I152" s="1996"/>
      <c r="J152" s="1996"/>
      <c r="K152" s="1996"/>
      <c r="L152" s="1996"/>
      <c r="M152" s="1996"/>
      <c r="N152" s="1996"/>
      <c r="O152" s="1996"/>
      <c r="P152" s="1996"/>
      <c r="Q152" s="1996"/>
      <c r="R152" s="1996"/>
      <c r="S152" s="1996"/>
      <c r="T152" s="1996"/>
      <c r="U152" s="1996"/>
      <c r="V152" s="1996"/>
      <c r="W152" s="1996"/>
      <c r="X152" s="1996"/>
    </row>
    <row r="153" spans="1:24" ht="15" customHeight="1">
      <c r="A153" s="1996"/>
      <c r="B153" s="1996"/>
      <c r="C153" s="1996"/>
      <c r="D153" s="1996"/>
      <c r="E153" s="1996"/>
      <c r="F153" s="1996"/>
      <c r="G153" s="1996"/>
      <c r="H153" s="1996"/>
      <c r="I153" s="1996"/>
      <c r="J153" s="1996"/>
      <c r="K153" s="1996"/>
      <c r="L153" s="1996"/>
      <c r="M153" s="1996"/>
      <c r="N153" s="1996"/>
      <c r="O153" s="1996"/>
      <c r="P153" s="1996"/>
      <c r="Q153" s="1996"/>
      <c r="R153" s="1996"/>
      <c r="S153" s="1996"/>
      <c r="T153" s="1996"/>
      <c r="U153" s="1996"/>
      <c r="V153" s="1996"/>
      <c r="W153" s="1996"/>
      <c r="X153" s="1996"/>
    </row>
    <row r="154" spans="1:24" ht="15" customHeight="1">
      <c r="A154" s="1996"/>
      <c r="B154" s="1996"/>
      <c r="C154" s="1996"/>
      <c r="D154" s="1996"/>
      <c r="E154" s="1996"/>
      <c r="F154" s="1996"/>
      <c r="G154" s="1996"/>
      <c r="H154" s="1996"/>
      <c r="I154" s="1996"/>
      <c r="J154" s="1996"/>
      <c r="K154" s="1996"/>
      <c r="L154" s="1996"/>
      <c r="M154" s="1996"/>
      <c r="N154" s="1996"/>
      <c r="O154" s="1996"/>
      <c r="P154" s="1996"/>
      <c r="Q154" s="1996"/>
      <c r="R154" s="1996"/>
      <c r="S154" s="1996"/>
      <c r="T154" s="1996"/>
      <c r="U154" s="1996"/>
      <c r="V154" s="1996"/>
      <c r="W154" s="1996"/>
      <c r="X154" s="1996"/>
    </row>
    <row r="155" spans="1:24" ht="15" customHeight="1">
      <c r="A155" s="1996"/>
      <c r="B155" s="1996"/>
      <c r="C155" s="1996"/>
      <c r="D155" s="1996"/>
      <c r="E155" s="1996"/>
      <c r="F155" s="1996"/>
      <c r="G155" s="1996"/>
      <c r="H155" s="1996"/>
      <c r="I155" s="1996"/>
      <c r="J155" s="1996"/>
      <c r="K155" s="1996"/>
      <c r="L155" s="1996"/>
      <c r="M155" s="1996"/>
      <c r="N155" s="1996"/>
      <c r="O155" s="1996"/>
      <c r="P155" s="1996"/>
      <c r="Q155" s="1996"/>
      <c r="R155" s="1996"/>
      <c r="S155" s="1996"/>
      <c r="T155" s="1996"/>
      <c r="U155" s="1996"/>
      <c r="V155" s="1996"/>
      <c r="W155" s="1996"/>
      <c r="X155" s="1996"/>
    </row>
    <row r="156" spans="1:24" ht="15" customHeight="1">
      <c r="A156" s="1996"/>
      <c r="B156" s="1996"/>
      <c r="C156" s="1996"/>
      <c r="D156" s="1996"/>
      <c r="E156" s="1996"/>
      <c r="F156" s="1996"/>
      <c r="G156" s="1996"/>
      <c r="H156" s="1996"/>
      <c r="I156" s="1996"/>
      <c r="J156" s="1996"/>
      <c r="K156" s="1996"/>
      <c r="L156" s="1996"/>
      <c r="M156" s="1996"/>
      <c r="N156" s="1996"/>
      <c r="O156" s="1996"/>
      <c r="P156" s="1996"/>
      <c r="Q156" s="1996"/>
      <c r="R156" s="1996"/>
      <c r="S156" s="1996"/>
      <c r="T156" s="1996"/>
      <c r="U156" s="1996"/>
      <c r="V156" s="1996"/>
      <c r="W156" s="1996"/>
      <c r="X156" s="1996"/>
    </row>
    <row r="157" spans="1:24" ht="15" customHeight="1">
      <c r="A157" s="1996"/>
      <c r="B157" s="1996"/>
      <c r="C157" s="1996"/>
      <c r="D157" s="1996"/>
      <c r="E157" s="1996"/>
      <c r="F157" s="1996"/>
      <c r="G157" s="1996"/>
      <c r="H157" s="1996"/>
      <c r="I157" s="1996"/>
      <c r="J157" s="1996"/>
      <c r="K157" s="1996"/>
      <c r="L157" s="1996"/>
      <c r="M157" s="1996"/>
      <c r="N157" s="1996"/>
      <c r="O157" s="1996"/>
      <c r="P157" s="1996"/>
      <c r="Q157" s="1996"/>
      <c r="R157" s="1996"/>
      <c r="S157" s="1996"/>
      <c r="T157" s="1996"/>
      <c r="U157" s="1996"/>
      <c r="V157" s="1996"/>
      <c r="W157" s="1996"/>
      <c r="X157" s="1996"/>
    </row>
    <row r="158" spans="1:24" ht="15" customHeight="1">
      <c r="A158" s="1996"/>
      <c r="B158" s="1996"/>
      <c r="C158" s="1996"/>
      <c r="D158" s="1996"/>
      <c r="E158" s="1996"/>
      <c r="F158" s="1996"/>
      <c r="G158" s="1996"/>
      <c r="H158" s="1996"/>
      <c r="I158" s="1996"/>
      <c r="J158" s="1996"/>
      <c r="K158" s="1996"/>
      <c r="L158" s="1996"/>
      <c r="M158" s="1996"/>
      <c r="N158" s="1996"/>
      <c r="O158" s="1996"/>
      <c r="P158" s="1996"/>
      <c r="Q158" s="1996"/>
      <c r="R158" s="1996"/>
      <c r="S158" s="1996"/>
      <c r="T158" s="1996"/>
      <c r="U158" s="1996"/>
      <c r="V158" s="1996"/>
      <c r="W158" s="1996"/>
      <c r="X158" s="1996"/>
    </row>
    <row r="159" spans="1:24" ht="15" customHeight="1">
      <c r="A159" s="1996"/>
      <c r="B159" s="1996"/>
      <c r="C159" s="1996"/>
      <c r="D159" s="1996"/>
      <c r="E159" s="1996"/>
      <c r="F159" s="1996"/>
      <c r="G159" s="1996"/>
      <c r="H159" s="1996"/>
      <c r="I159" s="1996"/>
      <c r="J159" s="1996"/>
      <c r="K159" s="1996"/>
      <c r="L159" s="1996"/>
      <c r="M159" s="1996"/>
      <c r="N159" s="1996"/>
      <c r="O159" s="1996"/>
      <c r="P159" s="1996"/>
      <c r="Q159" s="1996"/>
      <c r="R159" s="1996"/>
      <c r="S159" s="1996"/>
      <c r="T159" s="1996"/>
      <c r="U159" s="1996"/>
      <c r="V159" s="1996"/>
      <c r="W159" s="1996"/>
      <c r="X159" s="1996"/>
    </row>
    <row r="163" spans="1:38" ht="13.5">
      <c r="A163" s="1904" t="s">
        <v>3457</v>
      </c>
      <c r="B163" s="1904"/>
      <c r="C163" s="1904"/>
      <c r="D163" s="1904"/>
      <c r="E163" s="1904"/>
      <c r="F163" s="1904"/>
      <c r="G163" s="1904"/>
      <c r="H163" s="1904"/>
      <c r="I163" s="1904"/>
      <c r="J163" s="1904"/>
      <c r="K163" s="1904"/>
      <c r="L163" s="1904"/>
      <c r="M163" s="1904"/>
      <c r="N163" s="1904"/>
      <c r="O163" s="1904"/>
      <c r="P163" s="1904"/>
      <c r="Q163" s="1904"/>
      <c r="R163" s="1904"/>
      <c r="S163" s="1904"/>
      <c r="T163" s="1904"/>
      <c r="U163" s="1904"/>
      <c r="V163" s="1904"/>
      <c r="W163" s="1904"/>
      <c r="X163" s="1904"/>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1995" t="str">
        <f>IFERROR(PHONETIC(G167),"")</f>
        <v/>
      </c>
      <c r="H166" s="1995"/>
      <c r="I166" s="1995"/>
      <c r="J166" s="1995"/>
      <c r="K166" s="1995"/>
      <c r="L166" s="1995"/>
      <c r="M166" s="1995"/>
      <c r="N166" s="1995"/>
      <c r="O166" s="1995"/>
      <c r="P166" s="1995"/>
      <c r="Q166" s="1995"/>
      <c r="R166" s="1995"/>
      <c r="S166" s="1995"/>
      <c r="T166" s="1995"/>
      <c r="U166" s="1995"/>
      <c r="V166" s="1995"/>
      <c r="W166" s="1995"/>
      <c r="X166" s="557"/>
      <c r="AH166" s="861" t="str">
        <f>HYPERLINK("#A55：X108")</f>
        <v>#A55：X108</v>
      </c>
      <c r="AI166" s="864" t="s">
        <v>3482</v>
      </c>
      <c r="AJ166" s="865"/>
      <c r="AK166" s="865"/>
      <c r="AL166" s="865"/>
    </row>
    <row r="167" spans="1:38" ht="13.5">
      <c r="A167" s="553"/>
      <c r="B167" s="553" t="s">
        <v>560</v>
      </c>
      <c r="C167" s="553"/>
      <c r="D167" s="553"/>
      <c r="E167" s="553"/>
      <c r="F167" s="553"/>
      <c r="G167" s="1980"/>
      <c r="H167" s="1980"/>
      <c r="I167" s="1980"/>
      <c r="J167" s="1980"/>
      <c r="K167" s="1980"/>
      <c r="L167" s="1980"/>
      <c r="M167" s="1980"/>
      <c r="N167" s="1980"/>
      <c r="O167" s="1980"/>
      <c r="P167" s="1980"/>
      <c r="Q167" s="1980"/>
      <c r="R167" s="1980"/>
      <c r="S167" s="1980"/>
      <c r="T167" s="1980"/>
      <c r="U167" s="1980"/>
      <c r="V167" s="1980"/>
      <c r="W167" s="1980"/>
      <c r="X167" s="558"/>
      <c r="AH167" s="861" t="str">
        <f>HYPERLINK("#A109：X162")</f>
        <v>#A109：X162</v>
      </c>
      <c r="AI167" s="864" t="s">
        <v>3483</v>
      </c>
      <c r="AJ167" s="865"/>
      <c r="AK167" s="865"/>
      <c r="AL167" s="865"/>
    </row>
    <row r="168" spans="1:38" ht="13.5">
      <c r="A168" s="553"/>
      <c r="B168" s="553"/>
      <c r="C168" s="553"/>
      <c r="D168" s="553"/>
      <c r="E168" s="553"/>
      <c r="F168" s="553"/>
      <c r="G168" s="1980"/>
      <c r="H168" s="1980"/>
      <c r="I168" s="1980"/>
      <c r="J168" s="1980"/>
      <c r="K168" s="1980"/>
      <c r="L168" s="1980"/>
      <c r="M168" s="1980"/>
      <c r="N168" s="1980"/>
      <c r="O168" s="1980"/>
      <c r="P168" s="1980"/>
      <c r="Q168" s="1980"/>
      <c r="R168" s="1980"/>
      <c r="S168" s="1980"/>
      <c r="T168" s="1980"/>
      <c r="U168" s="1980"/>
      <c r="V168" s="1980"/>
      <c r="W168" s="1980"/>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1988"/>
      <c r="I169" s="1988"/>
      <c r="J169" s="1988"/>
      <c r="K169" s="1988"/>
      <c r="L169" s="1988"/>
      <c r="M169" s="1988"/>
      <c r="N169" s="1988"/>
      <c r="O169" s="1988"/>
      <c r="P169" s="1988"/>
      <c r="Q169" s="1988"/>
      <c r="R169" s="1988"/>
      <c r="S169" s="1988"/>
      <c r="T169" s="1988"/>
      <c r="U169" s="1988"/>
      <c r="V169" s="1988"/>
      <c r="W169" s="1988"/>
      <c r="X169" s="553"/>
    </row>
    <row r="170" spans="1:38" ht="13.5">
      <c r="A170" s="553"/>
      <c r="B170" s="553" t="s">
        <v>3407</v>
      </c>
      <c r="C170" s="553"/>
      <c r="D170" s="553"/>
      <c r="E170" s="553"/>
      <c r="F170" s="553"/>
      <c r="G170" s="1980"/>
      <c r="H170" s="1980"/>
      <c r="I170" s="1980"/>
      <c r="J170" s="1980"/>
      <c r="K170" s="1980"/>
      <c r="L170" s="1980"/>
      <c r="M170" s="1980"/>
      <c r="N170" s="1980"/>
      <c r="O170" s="1980"/>
      <c r="P170" s="1980"/>
      <c r="Q170" s="1980"/>
      <c r="R170" s="1980"/>
      <c r="S170" s="1980"/>
      <c r="T170" s="1980"/>
      <c r="U170" s="1980"/>
      <c r="V170" s="1980"/>
      <c r="W170" s="1980"/>
      <c r="X170" s="558"/>
    </row>
    <row r="171" spans="1:38" ht="13.5">
      <c r="A171" s="553"/>
      <c r="B171" s="553"/>
      <c r="C171" s="553"/>
      <c r="D171" s="553"/>
      <c r="E171" s="553"/>
      <c r="F171" s="553"/>
      <c r="G171" s="1980"/>
      <c r="H171" s="1980"/>
      <c r="I171" s="1980"/>
      <c r="J171" s="1980"/>
      <c r="K171" s="1980"/>
      <c r="L171" s="1980"/>
      <c r="M171" s="1980"/>
      <c r="N171" s="1980"/>
      <c r="O171" s="1980"/>
      <c r="P171" s="1980"/>
      <c r="Q171" s="1980"/>
      <c r="R171" s="1980"/>
      <c r="S171" s="1980"/>
      <c r="T171" s="1980"/>
      <c r="U171" s="1980"/>
      <c r="V171" s="1980"/>
      <c r="W171" s="1980"/>
      <c r="X171" s="558"/>
    </row>
    <row r="172" spans="1:38" ht="13.5">
      <c r="A172" s="553"/>
      <c r="B172" s="553" t="s">
        <v>555</v>
      </c>
      <c r="C172" s="553"/>
      <c r="D172" s="553"/>
      <c r="E172" s="553"/>
      <c r="F172" s="553"/>
      <c r="G172" s="1989"/>
      <c r="H172" s="1989"/>
      <c r="I172" s="1989"/>
      <c r="J172" s="1989"/>
      <c r="K172" s="1989"/>
      <c r="L172" s="1989"/>
      <c r="M172" s="1989"/>
      <c r="N172" s="1989"/>
      <c r="O172" s="1989"/>
      <c r="P172" s="1989"/>
      <c r="Q172" s="1989"/>
      <c r="R172" s="1989"/>
      <c r="S172" s="1989"/>
      <c r="T172" s="1989"/>
      <c r="U172" s="1989"/>
      <c r="V172" s="1989"/>
      <c r="W172" s="1989"/>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Q21:W21"/>
    <mergeCell ref="A4:X5"/>
    <mergeCell ref="A6:X6"/>
    <mergeCell ref="Q8:X8"/>
    <mergeCell ref="Q13:W13"/>
    <mergeCell ref="Q14:W14"/>
    <mergeCell ref="Q15:W15"/>
    <mergeCell ref="Q16:W16"/>
    <mergeCell ref="Q17:W17"/>
    <mergeCell ref="Q18:W18"/>
    <mergeCell ref="Q19:W19"/>
    <mergeCell ref="Q20:W20"/>
    <mergeCell ref="A55:X55"/>
    <mergeCell ref="A23:X24"/>
    <mergeCell ref="A26:X26"/>
    <mergeCell ref="B30:H30"/>
    <mergeCell ref="J30:Q30"/>
    <mergeCell ref="K31:P31"/>
    <mergeCell ref="B33:W34"/>
    <mergeCell ref="F41:W42"/>
    <mergeCell ref="C43:W43"/>
    <mergeCell ref="C44:W45"/>
    <mergeCell ref="C47:W48"/>
    <mergeCell ref="O52:U52"/>
    <mergeCell ref="G70:W70"/>
    <mergeCell ref="G58:W58"/>
    <mergeCell ref="G59:W60"/>
    <mergeCell ref="H61:W61"/>
    <mergeCell ref="G62:W63"/>
    <mergeCell ref="G64:W64"/>
    <mergeCell ref="G67:H67"/>
    <mergeCell ref="K67:N67"/>
    <mergeCell ref="Q67:V67"/>
    <mergeCell ref="G68:W68"/>
    <mergeCell ref="G69:H69"/>
    <mergeCell ref="I69:K69"/>
    <mergeCell ref="L69:N69"/>
    <mergeCell ref="R69:V69"/>
    <mergeCell ref="G81:W81"/>
    <mergeCell ref="H71:W71"/>
    <mergeCell ref="G72:W73"/>
    <mergeCell ref="G74:W74"/>
    <mergeCell ref="G78:H78"/>
    <mergeCell ref="K78:N78"/>
    <mergeCell ref="Q78:V78"/>
    <mergeCell ref="G79:W79"/>
    <mergeCell ref="G80:H80"/>
    <mergeCell ref="I80:K80"/>
    <mergeCell ref="L80:N80"/>
    <mergeCell ref="R80:V80"/>
    <mergeCell ref="G92:W92"/>
    <mergeCell ref="H82:W82"/>
    <mergeCell ref="G83:W84"/>
    <mergeCell ref="G85:W85"/>
    <mergeCell ref="J86:W86"/>
    <mergeCell ref="G89:H89"/>
    <mergeCell ref="K89:N89"/>
    <mergeCell ref="Q89:V89"/>
    <mergeCell ref="G90:W90"/>
    <mergeCell ref="G91:H91"/>
    <mergeCell ref="I91:K91"/>
    <mergeCell ref="L91:N91"/>
    <mergeCell ref="R91:V91"/>
    <mergeCell ref="H93:W93"/>
    <mergeCell ref="G94:W95"/>
    <mergeCell ref="G96:W96"/>
    <mergeCell ref="J97:W97"/>
    <mergeCell ref="G100:H100"/>
    <mergeCell ref="K100:N100"/>
    <mergeCell ref="Q100:V100"/>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G172:W172"/>
    <mergeCell ref="G114:W114"/>
    <mergeCell ref="H115:W115"/>
    <mergeCell ref="G116:W117"/>
    <mergeCell ref="G118:W118"/>
    <mergeCell ref="B121:W122"/>
    <mergeCell ref="A125:X159"/>
    <mergeCell ref="A163:X163"/>
    <mergeCell ref="G166:W166"/>
    <mergeCell ref="G167:W168"/>
    <mergeCell ref="H169:W169"/>
    <mergeCell ref="G170:W171"/>
  </mergeCells>
  <phoneticPr fontId="139"/>
  <dataValidations count="2">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200-000000000000}">
      <formula1>$AC$68:$AC$115</formula1>
    </dataValidation>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200-000001000000}">
      <formula1>$AE$68:$AE$118</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9318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9318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9318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9319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9319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9319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9319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9319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9319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imeMode="halfAlpha" allowBlank="1" showInputMessage="1" showErrorMessage="1" xr:uid="{BAC730A7-821A-481C-9106-29B62F23686A}">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 type="list" allowBlank="1" showInputMessage="1" showErrorMessage="1" xr:uid="{D1F1F616-9136-4C6A-BF78-6639F54EC1B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1967" t="s">
        <v>2823</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79" t="s">
        <v>3727</v>
      </c>
      <c r="R8" s="1979"/>
      <c r="S8" s="1979"/>
      <c r="T8" s="1979"/>
      <c r="U8" s="1979"/>
      <c r="V8" s="1979"/>
      <c r="W8" s="1979"/>
      <c r="X8" s="1979"/>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row>
    <row r="17" spans="1:24">
      <c r="Q17" s="1966" t="str">
        <f>cst_wskakunin_owner2_JIMU_NAME</f>
        <v/>
      </c>
      <c r="R17" s="1966"/>
      <c r="S17" s="1966"/>
      <c r="T17" s="1966"/>
      <c r="U17" s="1966"/>
      <c r="V17" s="1966"/>
      <c r="W17" s="1966"/>
    </row>
    <row r="18" spans="1:24">
      <c r="Q18" s="1966" t="str">
        <f>cst_wskakunin_owner2__space2</f>
        <v/>
      </c>
      <c r="R18" s="1966"/>
      <c r="S18" s="1966"/>
      <c r="T18" s="1966"/>
      <c r="U18" s="1966"/>
      <c r="V18" s="1966"/>
      <c r="W18" s="1966"/>
    </row>
    <row r="19" spans="1:24">
      <c r="Q19" s="1966" t="str">
        <f>cst_wskakunin_owner3_JIMU_NAME</f>
        <v/>
      </c>
      <c r="R19" s="1966"/>
      <c r="S19" s="1966"/>
      <c r="T19" s="1966"/>
      <c r="U19" s="1966"/>
      <c r="V19" s="1966"/>
      <c r="W19" s="1966"/>
    </row>
    <row r="20" spans="1:24">
      <c r="Q20" s="1966" t="str">
        <f>cst_wskakunin_owner3__space2</f>
        <v/>
      </c>
      <c r="R20" s="1966"/>
      <c r="S20" s="1966"/>
      <c r="T20" s="1966"/>
      <c r="U20" s="1966"/>
      <c r="V20" s="1966"/>
      <c r="W20" s="1966"/>
    </row>
    <row r="22" spans="1:24">
      <c r="A22" s="2000" t="s">
        <v>3562</v>
      </c>
      <c r="B22" s="2000"/>
      <c r="C22" s="2000"/>
      <c r="D22" s="2000"/>
      <c r="E22" s="2000"/>
      <c r="F22" s="2000"/>
      <c r="G22" s="2000"/>
      <c r="H22" s="2000"/>
      <c r="I22" s="2000"/>
      <c r="J22" s="2000"/>
      <c r="K22" s="2000"/>
      <c r="L22" s="2000"/>
      <c r="M22" s="2000"/>
      <c r="N22" s="2000"/>
      <c r="O22" s="2000"/>
      <c r="P22" s="2000"/>
      <c r="Q22" s="2000"/>
      <c r="R22" s="2000"/>
      <c r="S22" s="2000"/>
      <c r="T22" s="2000"/>
      <c r="U22" s="2000"/>
      <c r="V22" s="2000"/>
      <c r="W22" s="2000"/>
      <c r="X22" s="2000"/>
    </row>
    <row r="23" spans="1:24">
      <c r="A23" s="2000"/>
      <c r="B23" s="2000"/>
      <c r="C23" s="2000"/>
      <c r="D23" s="2000"/>
      <c r="E23" s="2000"/>
      <c r="F23" s="2000"/>
      <c r="G23" s="2000"/>
      <c r="H23" s="2000"/>
      <c r="I23" s="2000"/>
      <c r="J23" s="2000"/>
      <c r="K23" s="2000"/>
      <c r="L23" s="2000"/>
      <c r="M23" s="2000"/>
      <c r="N23" s="2000"/>
      <c r="O23" s="2000"/>
      <c r="P23" s="2000"/>
      <c r="Q23" s="2000"/>
      <c r="R23" s="2000"/>
      <c r="S23" s="2000"/>
      <c r="T23" s="2000"/>
      <c r="U23" s="2000"/>
      <c r="V23" s="2000"/>
      <c r="W23" s="2000"/>
      <c r="X23" s="2000"/>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2" t="s">
        <v>3563</v>
      </c>
      <c r="C29" s="1972"/>
      <c r="D29" s="1972"/>
      <c r="E29" s="1972"/>
      <c r="F29" s="1972"/>
      <c r="G29" s="1972"/>
      <c r="H29" s="1972"/>
      <c r="J29" s="871" t="s">
        <v>374</v>
      </c>
      <c r="K29" s="2001"/>
      <c r="L29" s="2001"/>
      <c r="M29" s="2001"/>
      <c r="N29" s="2001"/>
      <c r="O29" s="2001"/>
      <c r="P29" s="2001"/>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1971" t="s">
        <v>3564</v>
      </c>
      <c r="C32" s="1971"/>
      <c r="D32" s="1971"/>
      <c r="E32" s="1971"/>
      <c r="F32" s="1971"/>
      <c r="G32" s="1971"/>
      <c r="H32" s="1971"/>
      <c r="J32" s="1999"/>
      <c r="K32" s="1999"/>
      <c r="L32" s="1999"/>
      <c r="M32" s="1999"/>
      <c r="N32" s="1999"/>
      <c r="O32" s="1999"/>
      <c r="P32" s="1999"/>
      <c r="Q32" s="1999"/>
    </row>
    <row r="35" spans="1:24">
      <c r="B35" s="1971" t="s">
        <v>3565</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79" t="s">
        <v>3727</v>
      </c>
      <c r="P52" s="1979"/>
      <c r="Q52" s="1979"/>
      <c r="R52" s="1979"/>
      <c r="S52" s="1979"/>
      <c r="T52" s="1979"/>
      <c r="U52" s="1979"/>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8:X8"/>
    <mergeCell ref="Q15:W15"/>
    <mergeCell ref="Q16:W16"/>
    <mergeCell ref="Q17:W17"/>
    <mergeCell ref="Q19:W19"/>
    <mergeCell ref="Q20:W20"/>
    <mergeCell ref="A22:X23"/>
    <mergeCell ref="A26:X26"/>
    <mergeCell ref="B29:H29"/>
    <mergeCell ref="K29:P29"/>
    <mergeCell ref="F58:W58"/>
    <mergeCell ref="F59:W59"/>
    <mergeCell ref="F60:W61"/>
    <mergeCell ref="B32:H32"/>
    <mergeCell ref="J32:Q32"/>
    <mergeCell ref="B35:H35"/>
    <mergeCell ref="J35:W37"/>
    <mergeCell ref="A40:X41"/>
    <mergeCell ref="O52:U52"/>
  </mergeCells>
  <phoneticPr fontId="139"/>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3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1967" t="s">
        <v>2823</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79" t="s">
        <v>3727</v>
      </c>
      <c r="R8" s="1979"/>
      <c r="S8" s="1979"/>
      <c r="T8" s="1979"/>
      <c r="U8" s="1979"/>
      <c r="V8" s="1979"/>
      <c r="W8" s="1979"/>
      <c r="X8" s="1979"/>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row>
    <row r="17" spans="1:24">
      <c r="Q17" s="1966" t="str">
        <f>cst_wskakunin_owner2_JIMU_NAME</f>
        <v/>
      </c>
      <c r="R17" s="1966"/>
      <c r="S17" s="1966"/>
      <c r="T17" s="1966"/>
      <c r="U17" s="1966"/>
      <c r="V17" s="1966"/>
      <c r="W17" s="1966"/>
    </row>
    <row r="18" spans="1:24">
      <c r="Q18" s="1966" t="str">
        <f>cst_wskakunin_owner2__space2</f>
        <v/>
      </c>
      <c r="R18" s="1966"/>
      <c r="S18" s="1966"/>
      <c r="T18" s="1966"/>
      <c r="U18" s="1966"/>
      <c r="V18" s="1966"/>
      <c r="W18" s="1966"/>
    </row>
    <row r="19" spans="1:24">
      <c r="Q19" s="1966" t="str">
        <f>cst_wskakunin_owner3_JIMU_NAME</f>
        <v/>
      </c>
      <c r="R19" s="1966"/>
      <c r="S19" s="1966"/>
      <c r="T19" s="1966"/>
      <c r="U19" s="1966"/>
      <c r="V19" s="1966"/>
      <c r="W19" s="1966"/>
    </row>
    <row r="20" spans="1:24">
      <c r="Q20" s="1966" t="str">
        <f>cst_wskakunin_owner3__space2</f>
        <v/>
      </c>
      <c r="R20" s="1966"/>
      <c r="S20" s="1966"/>
      <c r="T20" s="1966"/>
      <c r="U20" s="1966"/>
      <c r="V20" s="1966"/>
      <c r="W20" s="1966"/>
    </row>
    <row r="22" spans="1:24">
      <c r="A22" s="2000" t="s">
        <v>3562</v>
      </c>
      <c r="B22" s="2000"/>
      <c r="C22" s="2000"/>
      <c r="D22" s="2000"/>
      <c r="E22" s="2000"/>
      <c r="F22" s="2000"/>
      <c r="G22" s="2000"/>
      <c r="H22" s="2000"/>
      <c r="I22" s="2000"/>
      <c r="J22" s="2000"/>
      <c r="K22" s="2000"/>
      <c r="L22" s="2000"/>
      <c r="M22" s="2000"/>
      <c r="N22" s="2000"/>
      <c r="O22" s="2000"/>
      <c r="P22" s="2000"/>
      <c r="Q22" s="2000"/>
      <c r="R22" s="2000"/>
      <c r="S22" s="2000"/>
      <c r="T22" s="2000"/>
      <c r="U22" s="2000"/>
      <c r="V22" s="2000"/>
      <c r="W22" s="2000"/>
      <c r="X22" s="2000"/>
    </row>
    <row r="23" spans="1:24">
      <c r="A23" s="2000"/>
      <c r="B23" s="2000"/>
      <c r="C23" s="2000"/>
      <c r="D23" s="2000"/>
      <c r="E23" s="2000"/>
      <c r="F23" s="2000"/>
      <c r="G23" s="2000"/>
      <c r="H23" s="2000"/>
      <c r="I23" s="2000"/>
      <c r="J23" s="2000"/>
      <c r="K23" s="2000"/>
      <c r="L23" s="2000"/>
      <c r="M23" s="2000"/>
      <c r="N23" s="2000"/>
      <c r="O23" s="2000"/>
      <c r="P23" s="2000"/>
      <c r="Q23" s="2000"/>
      <c r="R23" s="2000"/>
      <c r="S23" s="2000"/>
      <c r="T23" s="2000"/>
      <c r="U23" s="2000"/>
      <c r="V23" s="2000"/>
      <c r="W23" s="2000"/>
      <c r="X23" s="2000"/>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2" t="s">
        <v>3563</v>
      </c>
      <c r="C29" s="1972"/>
      <c r="D29" s="1972"/>
      <c r="E29" s="1972"/>
      <c r="F29" s="1972"/>
      <c r="G29" s="1972"/>
      <c r="H29" s="1972"/>
      <c r="J29" s="871" t="s">
        <v>374</v>
      </c>
      <c r="K29" s="2002" t="str">
        <f>IF(目次・入力シート!BK31="","＜目次・入力シートに入力してください＞",目次・入力シート!BK31)</f>
        <v>＜目次・入力シートに入力してください＞</v>
      </c>
      <c r="L29" s="2002"/>
      <c r="M29" s="2002"/>
      <c r="N29" s="2002"/>
      <c r="O29" s="2002"/>
      <c r="P29" s="2002"/>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1971" t="s">
        <v>3564</v>
      </c>
      <c r="C32" s="1971"/>
      <c r="D32" s="1971"/>
      <c r="E32" s="1971"/>
      <c r="F32" s="1971"/>
      <c r="G32" s="1971"/>
      <c r="H32" s="1971"/>
      <c r="J32" s="2003" t="str">
        <f>IF(目次・入力シート!BJ33="","＜目次・入力シートに入力してください＞",目次・入力シート!BJ33)</f>
        <v>＜目次・入力シートに入力してください＞</v>
      </c>
      <c r="K32" s="2003"/>
      <c r="L32" s="2003"/>
      <c r="M32" s="2003"/>
      <c r="N32" s="2003"/>
      <c r="O32" s="2003"/>
      <c r="P32" s="2003"/>
      <c r="Q32" s="2003"/>
    </row>
    <row r="35" spans="1:24">
      <c r="B35" s="1971" t="s">
        <v>3565</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79" t="s">
        <v>3727</v>
      </c>
      <c r="P52" s="1979"/>
      <c r="Q52" s="1979"/>
      <c r="R52" s="1979"/>
      <c r="S52" s="1979"/>
      <c r="T52" s="1979"/>
      <c r="U52" s="1979"/>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9:W59"/>
    <mergeCell ref="F60:W61"/>
    <mergeCell ref="B32:H32"/>
    <mergeCell ref="J32:Q32"/>
    <mergeCell ref="B35:H35"/>
    <mergeCell ref="J35:W37"/>
    <mergeCell ref="A40:X41"/>
    <mergeCell ref="F58:W58"/>
    <mergeCell ref="O52:U52"/>
    <mergeCell ref="Q19:W19"/>
    <mergeCell ref="Q20:W20"/>
    <mergeCell ref="A22:X23"/>
    <mergeCell ref="A26:X26"/>
    <mergeCell ref="B29:H29"/>
    <mergeCell ref="K29:P29"/>
    <mergeCell ref="Q18:W18"/>
    <mergeCell ref="A4:X5"/>
    <mergeCell ref="Q15:W15"/>
    <mergeCell ref="Q16:W16"/>
    <mergeCell ref="Q17:W17"/>
    <mergeCell ref="Q8:X8"/>
  </mergeCells>
  <phoneticPr fontId="139"/>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4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1967" t="s">
        <v>2825</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79" t="s">
        <v>3727</v>
      </c>
      <c r="R8" s="1979"/>
      <c r="S8" s="1979"/>
      <c r="T8" s="1979"/>
      <c r="U8" s="1979"/>
      <c r="V8" s="1979"/>
      <c r="W8" s="1979"/>
      <c r="X8" s="1979"/>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row>
    <row r="17" spans="1:24">
      <c r="Q17" s="1966" t="str">
        <f>cst_wskakunin_owner2_JIMU_NAME</f>
        <v/>
      </c>
      <c r="R17" s="1966"/>
      <c r="S17" s="1966"/>
      <c r="T17" s="1966"/>
      <c r="U17" s="1966"/>
      <c r="V17" s="1966"/>
      <c r="W17" s="1966"/>
      <c r="X17" s="869"/>
    </row>
    <row r="18" spans="1:24">
      <c r="Q18" s="1966" t="str">
        <f>cst_wskakunin_owner2__space2</f>
        <v/>
      </c>
      <c r="R18" s="1966"/>
      <c r="S18" s="1966"/>
      <c r="T18" s="1966"/>
      <c r="U18" s="1966"/>
      <c r="V18" s="1966"/>
      <c r="W18" s="1966"/>
    </row>
    <row r="19" spans="1:24">
      <c r="Q19" s="1966" t="str">
        <f>cst_wskakunin_owner3_JIMU_NAME</f>
        <v/>
      </c>
      <c r="R19" s="1966"/>
      <c r="S19" s="1966"/>
      <c r="T19" s="1966"/>
      <c r="U19" s="1966"/>
      <c r="V19" s="1966"/>
      <c r="W19" s="1966"/>
      <c r="X19" s="870"/>
    </row>
    <row r="20" spans="1:24">
      <c r="Q20" s="1966" t="str">
        <f>cst_wskakunin_owner3__space2</f>
        <v/>
      </c>
      <c r="R20" s="1966"/>
      <c r="S20" s="1966"/>
      <c r="T20" s="1966"/>
      <c r="U20" s="1966"/>
      <c r="V20" s="1966"/>
      <c r="W20" s="1966"/>
    </row>
    <row r="22" spans="1:24">
      <c r="B22" s="2004" t="str">
        <f>cst_wskakunin_SHINSEI_DATE</f>
        <v/>
      </c>
      <c r="C22" s="2004"/>
      <c r="D22" s="2004"/>
      <c r="E22" s="2004"/>
      <c r="F22" s="2004"/>
      <c r="G22" s="2004"/>
      <c r="H22" s="2004"/>
      <c r="I22" s="2004"/>
      <c r="J22" s="857" t="s">
        <v>3567</v>
      </c>
    </row>
    <row r="23" spans="1:24">
      <c r="A23" s="857" t="s">
        <v>3568</v>
      </c>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2" t="s">
        <v>3563</v>
      </c>
      <c r="C29" s="1972"/>
      <c r="D29" s="1972"/>
      <c r="E29" s="1972"/>
      <c r="F29" s="1972"/>
      <c r="G29" s="1972"/>
      <c r="H29" s="1972"/>
      <c r="J29" s="871" t="s">
        <v>374</v>
      </c>
      <c r="K29" s="2005"/>
      <c r="L29" s="2005"/>
      <c r="M29" s="2005"/>
      <c r="N29" s="2005"/>
      <c r="O29" s="2005"/>
      <c r="P29" s="2005"/>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1971" t="s">
        <v>3564</v>
      </c>
      <c r="C32" s="1971"/>
      <c r="D32" s="1971"/>
      <c r="E32" s="1971"/>
      <c r="F32" s="1971"/>
      <c r="G32" s="1971"/>
      <c r="H32" s="1971"/>
      <c r="J32" s="1981"/>
      <c r="K32" s="1981"/>
      <c r="L32" s="1981"/>
      <c r="M32" s="1981"/>
      <c r="N32" s="1981"/>
      <c r="O32" s="1981"/>
      <c r="P32" s="1981"/>
      <c r="Q32" s="1981"/>
    </row>
    <row r="35" spans="1:24">
      <c r="B35" s="1971" t="s">
        <v>3473</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79" t="s">
        <v>3727</v>
      </c>
      <c r="P52" s="1979"/>
      <c r="Q52" s="1979"/>
      <c r="R52" s="1979"/>
      <c r="S52" s="1979"/>
      <c r="T52" s="1979"/>
      <c r="U52" s="1979"/>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9:W59"/>
    <mergeCell ref="F60:W61"/>
    <mergeCell ref="B32:H32"/>
    <mergeCell ref="J32:Q32"/>
    <mergeCell ref="B35:H35"/>
    <mergeCell ref="J35:W37"/>
    <mergeCell ref="A40:X41"/>
    <mergeCell ref="F58:W58"/>
    <mergeCell ref="O52:U52"/>
    <mergeCell ref="Q19:W19"/>
    <mergeCell ref="Q20:W20"/>
    <mergeCell ref="B22:I22"/>
    <mergeCell ref="A26:X26"/>
    <mergeCell ref="B29:H29"/>
    <mergeCell ref="K29:P29"/>
    <mergeCell ref="Q18:W18"/>
    <mergeCell ref="A4:X5"/>
    <mergeCell ref="Q15:W15"/>
    <mergeCell ref="Q16:W16"/>
    <mergeCell ref="Q17:W17"/>
    <mergeCell ref="Q8:X8"/>
  </mergeCells>
  <phoneticPr fontId="139"/>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5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326"/>
  <sheetViews>
    <sheetView zoomScaleNormal="100" workbookViewId="0">
      <pane xSplit="2" ySplit="6" topLeftCell="C927" activePane="bottomRight" state="frozen"/>
      <selection pane="topRight"/>
      <selection pane="bottomLeft"/>
      <selection pane="bottomRight" activeCell="B960" sqref="B960"/>
    </sheetView>
  </sheetViews>
  <sheetFormatPr defaultColWidth="9" defaultRowHeight="15" customHeight="1"/>
  <cols>
    <col min="1" max="1" width="15.625" style="14" customWidth="1"/>
    <col min="2" max="2" width="31.375" style="14" customWidth="1"/>
    <col min="3" max="3" width="37.875" style="14" customWidth="1"/>
    <col min="4" max="4" width="15.625" style="14" customWidth="1"/>
    <col min="5" max="5" width="42.25" style="14" customWidth="1"/>
    <col min="6" max="6" width="27.625" style="14" customWidth="1"/>
    <col min="7" max="7" width="35.625" style="14" customWidth="1"/>
    <col min="8" max="8" width="9" style="14" customWidth="1"/>
    <col min="9" max="16384" width="9" style="14"/>
  </cols>
  <sheetData>
    <row r="6" spans="1:8" ht="15" customHeight="1">
      <c r="A6" s="14" t="s">
        <v>48</v>
      </c>
      <c r="C6" s="14" t="s">
        <v>49</v>
      </c>
      <c r="D6" s="14" t="s">
        <v>50</v>
      </c>
      <c r="E6" s="14" t="s">
        <v>51</v>
      </c>
      <c r="F6" s="14" t="s">
        <v>52</v>
      </c>
      <c r="G6" s="117" t="s">
        <v>394</v>
      </c>
    </row>
    <row r="7" spans="1:8" ht="15" customHeight="1">
      <c r="A7" s="1" t="s">
        <v>10</v>
      </c>
      <c r="B7" s="26"/>
      <c r="C7" s="14" t="s">
        <v>11</v>
      </c>
      <c r="D7" s="143"/>
      <c r="E7" s="14" t="s">
        <v>12</v>
      </c>
      <c r="F7" s="143" t="str">
        <f>IF(_output_title="","",_output_title)</f>
        <v/>
      </c>
    </row>
    <row r="8" spans="1:8" ht="15" customHeight="1">
      <c r="A8" s="8"/>
      <c r="B8" s="116"/>
      <c r="D8" s="143"/>
      <c r="F8" s="143"/>
    </row>
    <row r="9" spans="1:8" ht="15" customHeight="1">
      <c r="A9" s="1" t="s">
        <v>7</v>
      </c>
      <c r="B9" s="26"/>
      <c r="C9" s="14" t="s">
        <v>8</v>
      </c>
      <c r="D9" s="143" t="s">
        <v>3629</v>
      </c>
      <c r="E9" s="14" t="s">
        <v>9</v>
      </c>
      <c r="F9" s="143" t="str">
        <f>IF(_output_sheetname="","",_output_sheetname)</f>
        <v>検査予約票</v>
      </c>
    </row>
    <row r="10" spans="1:8" ht="15" customHeight="1">
      <c r="A10" s="8"/>
      <c r="B10" s="116"/>
      <c r="D10" s="143"/>
      <c r="F10" s="143"/>
    </row>
    <row r="11" spans="1:8" ht="15" customHeight="1">
      <c r="A11" s="44" t="s">
        <v>645</v>
      </c>
      <c r="B11" s="45"/>
      <c r="C11" s="14" t="s">
        <v>53</v>
      </c>
      <c r="D11" s="143" t="s">
        <v>1</v>
      </c>
      <c r="E11" s="14" t="s">
        <v>101</v>
      </c>
      <c r="F11" s="143" t="str">
        <f>IF(wsjob_TARGET_KIND__label="","",wsjob_TARGET_KIND__label)</f>
        <v>建築物</v>
      </c>
      <c r="G11" s="15"/>
      <c r="H11" s="15"/>
    </row>
    <row r="12" spans="1:8" ht="62.1" customHeight="1">
      <c r="A12" s="81"/>
      <c r="B12" s="75" t="s">
        <v>1221</v>
      </c>
      <c r="C12" s="14" t="s">
        <v>1240</v>
      </c>
      <c r="D12" s="143">
        <v>100</v>
      </c>
      <c r="E12" s="14" t="s">
        <v>1239</v>
      </c>
      <c r="F12" s="143" t="str">
        <f ca="1">IF(wsjob_JOB_SET_KIND="","",IF(ISERROR(MATCH(wsjob_JOB_SET_KIND,cls_JOB_SET_KIND_erea,0)),"未設定コード",OFFSET(cls_JOB_SET_KIND_base_point,MATCH(wsjob_JOB_SET_KIND,cls_JOB_SET_KIND_erea,0),0)))</f>
        <v>基準法</v>
      </c>
      <c r="G12" s="55" t="s">
        <v>1222</v>
      </c>
      <c r="H12" s="15"/>
    </row>
    <row r="13" spans="1:8" ht="62.1" customHeight="1">
      <c r="A13" s="81"/>
      <c r="B13" s="75" t="s">
        <v>1220</v>
      </c>
      <c r="C13" s="14" t="s">
        <v>387</v>
      </c>
      <c r="D13" s="143">
        <v>1</v>
      </c>
      <c r="E13" s="14" t="s">
        <v>388</v>
      </c>
      <c r="F13" s="143" t="str">
        <f ca="1">IF(wsjob_TARGET_KIND="","",IF(ISERROR(MATCH(wsjob_TARGET_KIND,cls_TARGET_KIND_erea,0)),"未設定コード",OFFSET(cls_TARGET_KIND_base_point,MATCH(wsjob_TARGET_KIND,cls_TARGET_KIND_erea,0),0)))</f>
        <v>建築物</v>
      </c>
      <c r="G13" s="55" t="s">
        <v>1219</v>
      </c>
      <c r="H13" s="15"/>
    </row>
    <row r="14" spans="1:8" ht="16.5" customHeight="1">
      <c r="A14" s="81"/>
      <c r="B14" s="75" t="s">
        <v>1</v>
      </c>
      <c r="D14" s="15"/>
      <c r="E14" s="14" t="s">
        <v>2578</v>
      </c>
      <c r="F14" s="143" t="str">
        <f ca="1">IF(cst_wsjob_TARGET_KIND="建築物","■","□")</f>
        <v>■</v>
      </c>
      <c r="G14" s="55"/>
      <c r="H14" s="15"/>
    </row>
    <row r="15" spans="1:8" ht="16.5" customHeight="1">
      <c r="A15" s="81"/>
      <c r="B15" s="75" t="s">
        <v>1224</v>
      </c>
      <c r="D15" s="15"/>
      <c r="E15" s="14" t="s">
        <v>2579</v>
      </c>
      <c r="F15" s="143" t="str">
        <f ca="1">IF(cst_wsjob_TARGET_KIND="昇降機","■","□")</f>
        <v>□</v>
      </c>
      <c r="G15" s="55"/>
      <c r="H15" s="15"/>
    </row>
    <row r="16" spans="1:8" ht="16.5" customHeight="1">
      <c r="A16" s="81"/>
      <c r="B16" s="75" t="s">
        <v>2580</v>
      </c>
      <c r="D16" s="15"/>
      <c r="E16" s="14" t="s">
        <v>2581</v>
      </c>
      <c r="F16" s="143" t="str">
        <f ca="1">IF(cst_wsjob_TARGET_KIND="工作物","■","□")</f>
        <v>□</v>
      </c>
      <c r="G16" s="55"/>
      <c r="H16" s="15"/>
    </row>
    <row r="17" spans="1:8" ht="62.1" customHeight="1">
      <c r="A17" s="81"/>
      <c r="B17" s="75" t="s">
        <v>1218</v>
      </c>
      <c r="C17" s="14" t="s">
        <v>385</v>
      </c>
      <c r="D17" s="143">
        <v>101</v>
      </c>
      <c r="E17" s="14" t="s">
        <v>386</v>
      </c>
      <c r="F17" s="143" t="str">
        <f ca="1">IF(wsjob_JOB_KIND="","",IF(ISERROR(MATCH(wsjob_JOB_KIND,cls_JOB_KIND_erea,0)),"未設定コード",OFFSET(cls_JOB_KIND_base_point,MATCH(wsjob_JOB_KIND,cls_JOB_KIND_erea,0),0)))</f>
        <v>確認申請</v>
      </c>
      <c r="G17" s="55" t="s">
        <v>1238</v>
      </c>
      <c r="H17" s="15"/>
    </row>
    <row r="18" spans="1:8" ht="16.5" customHeight="1">
      <c r="A18" s="81"/>
      <c r="B18" s="140"/>
      <c r="D18" s="15"/>
      <c r="E18" s="14" t="s">
        <v>2665</v>
      </c>
      <c r="F18" s="143" t="str">
        <f>IF(wsjob_JOB_KIND=101,"■","□")</f>
        <v>■</v>
      </c>
      <c r="G18" s="55"/>
      <c r="H18" s="15"/>
    </row>
    <row r="19" spans="1:8" ht="16.5" customHeight="1">
      <c r="A19" s="81"/>
      <c r="B19" s="140"/>
      <c r="D19" s="15"/>
      <c r="E19" s="14" t="s">
        <v>2666</v>
      </c>
      <c r="F19" s="143" t="str">
        <f>IF(wsjob_JOB_KIND=103,"■","□")</f>
        <v>□</v>
      </c>
      <c r="G19" s="55"/>
      <c r="H19" s="15"/>
    </row>
    <row r="20" spans="1:8" ht="16.5" customHeight="1">
      <c r="A20" s="81"/>
      <c r="B20" s="140"/>
      <c r="D20" s="15"/>
      <c r="E20" s="14" t="s">
        <v>2667</v>
      </c>
      <c r="F20" s="143" t="str">
        <f>IF(wsjob_JOB_KIND=104,"■","□")</f>
        <v>□</v>
      </c>
      <c r="G20" s="55"/>
      <c r="H20" s="15"/>
    </row>
    <row r="21" spans="1:8" ht="38.25" customHeight="1">
      <c r="A21" s="82"/>
      <c r="B21" s="83" t="s">
        <v>3890</v>
      </c>
      <c r="C21" s="14" t="s">
        <v>3891</v>
      </c>
      <c r="D21" s="42">
        <v>6</v>
      </c>
      <c r="E21" s="14" t="s">
        <v>3892</v>
      </c>
      <c r="F21" s="143">
        <f>IF(wsjob_JOB_INPUT_VERSION="","",wsjob_JOB_INPUT_VERSION)</f>
        <v>6</v>
      </c>
      <c r="G21" s="55" t="s">
        <v>3893</v>
      </c>
      <c r="H21" s="15"/>
    </row>
    <row r="22" spans="1:8" ht="15" customHeight="1">
      <c r="A22" s="130"/>
      <c r="B22" s="131"/>
      <c r="D22" s="15"/>
      <c r="F22" s="15"/>
      <c r="G22" s="15"/>
      <c r="H22" s="15"/>
    </row>
    <row r="23" spans="1:8" ht="15" customHeight="1">
      <c r="A23" s="145" t="s">
        <v>2282</v>
      </c>
      <c r="B23" s="146"/>
    </row>
    <row r="24" spans="1:8" ht="15" customHeight="1">
      <c r="A24" s="147"/>
      <c r="B24" s="149" t="s">
        <v>2344</v>
      </c>
      <c r="E24" s="14" t="s">
        <v>2343</v>
      </c>
      <c r="F24" s="42">
        <f ca="1">IF(wsjob_JOB_KIND="","",IF(ISERROR(MATCH(wsjob_JOB_KIND,cls_JOB_KIND_erea,0)),"",OFFSET(cls_JOB_KIND_base_point,MATCH(wsjob_JOB_KIND,cls_JOB_KIND_erea,0),1)))</f>
        <v>1</v>
      </c>
      <c r="G24" s="14" t="s">
        <v>2342</v>
      </c>
    </row>
    <row r="25" spans="1:8" ht="15" customHeight="1">
      <c r="A25" s="147"/>
      <c r="B25" s="149" t="s">
        <v>2283</v>
      </c>
      <c r="E25" s="14" t="s">
        <v>2358</v>
      </c>
      <c r="F25" s="42" t="str">
        <f ca="1">IF(AND(chk_JOB_KIND_kakunin=1,wskakunin_koutei01_KOUTEI_TEXT&lt;&gt;""),1,"")</f>
        <v/>
      </c>
    </row>
    <row r="26" spans="1:8" ht="15" customHeight="1">
      <c r="A26" s="147"/>
      <c r="B26" s="149" t="s">
        <v>2284</v>
      </c>
      <c r="E26" s="14" t="s">
        <v>2359</v>
      </c>
      <c r="F26" s="42" t="str">
        <f ca="1">IF(AND(chk_JOB_KIND_kakunin=1,wskakunin_koutei02_KOUTEI_TEXT&lt;&gt;""),1,"")</f>
        <v/>
      </c>
    </row>
    <row r="27" spans="1:8" ht="15" customHeight="1">
      <c r="A27" s="147"/>
      <c r="B27" s="149" t="s">
        <v>2285</v>
      </c>
      <c r="E27" s="14" t="s">
        <v>2360</v>
      </c>
      <c r="F27" s="42" t="str">
        <f ca="1">IF(AND(chk_JOB_KIND_kakunin=1,wskakunin_koutei03_KOUTEI_TEXT&lt;&gt;""),1,"")</f>
        <v/>
      </c>
    </row>
    <row r="28" spans="1:8" ht="15" customHeight="1">
      <c r="A28" s="147"/>
      <c r="B28" s="174" t="s">
        <v>2356</v>
      </c>
      <c r="E28" s="14" t="s">
        <v>2361</v>
      </c>
      <c r="F28" s="42">
        <f ca="1">IF(chk_JOB_KIND_kakunin=3,IF(wskakunin_koutei_izen01_KOUTEI_TEXT="",30,IF(wskakunin_koutei_izen02_KOUTEI_TEXT&lt;&gt;"",32,31)),IF(chk_JOB_KIND_kakunin=1,10,IF(chk_JOB_KIND_kakunin=4,40,"")))</f>
        <v>10</v>
      </c>
      <c r="G28" s="14" t="s">
        <v>2357</v>
      </c>
    </row>
    <row r="29" spans="1:8" ht="15" customHeight="1">
      <c r="A29" s="147"/>
      <c r="B29" s="174" t="s">
        <v>31</v>
      </c>
      <c r="E29" s="14" t="s">
        <v>2341</v>
      </c>
      <c r="F29" s="42" t="str">
        <f ca="1">IF(chk_JOB_KIND_kakunin=1,cst_shinsei_ISSUE_NO,cst_wskakunin_LAST_ISSUE_NO)</f>
        <v/>
      </c>
      <c r="G29" s="14" t="s">
        <v>2340</v>
      </c>
    </row>
    <row r="30" spans="1:8" ht="15" customHeight="1">
      <c r="A30" s="148"/>
      <c r="B30" s="150"/>
      <c r="E30" s="14" t="s">
        <v>2576</v>
      </c>
      <c r="F30" s="42" t="str">
        <f ca="1">IF(chk_JOB_KIND_kakunin=1,cst_shinsei_ISSUE_DATE,cst_wskakunin_LAST_ISSUE_DATE)</f>
        <v/>
      </c>
    </row>
    <row r="31" spans="1:8" ht="15" customHeight="1">
      <c r="A31" s="32"/>
    </row>
    <row r="32" spans="1:8" ht="15" customHeight="1">
      <c r="A32" s="203" t="s">
        <v>2648</v>
      </c>
      <c r="B32" s="204"/>
      <c r="C32" s="14" t="s">
        <v>2649</v>
      </c>
      <c r="D32" s="234"/>
      <c r="E32" s="14" t="s">
        <v>2650</v>
      </c>
      <c r="F32" s="234" t="str">
        <f>IF(shinsei_PROVO_DATE="","",shinsei_PROVO_DATE)</f>
        <v/>
      </c>
    </row>
    <row r="33" spans="1:8" ht="15" customHeight="1">
      <c r="A33" s="203" t="s">
        <v>2651</v>
      </c>
      <c r="B33" s="204"/>
      <c r="C33" s="14" t="s">
        <v>2652</v>
      </c>
      <c r="D33" s="216"/>
      <c r="E33" s="14" t="s">
        <v>2653</v>
      </c>
      <c r="F33" s="143" t="str">
        <f>IF(shinsei_PROVO_NO="","",shinsei_PROVO_NO)</f>
        <v/>
      </c>
    </row>
    <row r="34" spans="1:8" ht="15" customHeight="1">
      <c r="A34" s="32"/>
    </row>
    <row r="35" spans="1:8" ht="15" customHeight="1">
      <c r="A35" s="151" t="s">
        <v>2309</v>
      </c>
      <c r="B35" s="152"/>
      <c r="D35" s="15"/>
      <c r="F35" s="15"/>
      <c r="G35" s="15"/>
      <c r="H35" s="15"/>
    </row>
    <row r="36" spans="1:8" ht="15" customHeight="1">
      <c r="A36" s="153" t="s">
        <v>29</v>
      </c>
      <c r="B36" s="154"/>
      <c r="C36" s="14" t="s">
        <v>54</v>
      </c>
      <c r="D36" s="214" t="s">
        <v>17</v>
      </c>
      <c r="E36" s="14" t="s">
        <v>72</v>
      </c>
      <c r="F36" s="143" t="str">
        <f>IF(shinsei_UKETUKE_NO="","",shinsei_UKETUKE_NO)</f>
        <v/>
      </c>
      <c r="G36" s="15"/>
      <c r="H36" s="15"/>
    </row>
    <row r="37" spans="1:8" ht="15" customHeight="1">
      <c r="A37" s="155"/>
      <c r="B37" s="156"/>
      <c r="D37" s="32"/>
      <c r="F37" s="15"/>
      <c r="G37" s="15"/>
      <c r="H37" s="15"/>
    </row>
    <row r="38" spans="1:8" ht="15" customHeight="1">
      <c r="A38" s="157" t="s">
        <v>30</v>
      </c>
      <c r="B38" s="158"/>
      <c r="C38" s="14" t="s">
        <v>55</v>
      </c>
      <c r="D38" s="234"/>
      <c r="E38" s="14" t="s">
        <v>73</v>
      </c>
      <c r="F38" s="234" t="str">
        <f>IF(shinsei_HIKIUKE_DATE="","",shinsei_HIKIUKE_DATE)</f>
        <v/>
      </c>
      <c r="G38" s="15"/>
      <c r="H38" s="15"/>
    </row>
    <row r="39" spans="1:8" ht="15" customHeight="1">
      <c r="A39" s="159"/>
      <c r="B39" s="160"/>
      <c r="D39" s="98"/>
      <c r="F39" s="15"/>
      <c r="G39" s="15"/>
      <c r="H39" s="15"/>
    </row>
    <row r="40" spans="1:8" ht="15" customHeight="1">
      <c r="A40" s="161" t="s">
        <v>31</v>
      </c>
      <c r="B40" s="162"/>
      <c r="C40" s="14" t="s">
        <v>56</v>
      </c>
      <c r="D40" s="214"/>
      <c r="E40" s="14" t="s">
        <v>102</v>
      </c>
      <c r="F40" s="143" t="str">
        <f>IF(shinsei_ISSUE_NO="","",shinsei_ISSUE_NO)</f>
        <v/>
      </c>
      <c r="G40" s="15"/>
      <c r="H40" s="15"/>
    </row>
    <row r="41" spans="1:8" ht="15" customHeight="1">
      <c r="A41" s="163" t="s">
        <v>31</v>
      </c>
      <c r="B41" s="212"/>
      <c r="C41" s="14" t="s">
        <v>2672</v>
      </c>
      <c r="D41" s="216"/>
      <c r="E41" s="14" t="s">
        <v>2673</v>
      </c>
      <c r="F41" s="143" t="str">
        <f>IF(shinsei_KAKU_SUMI_NO="","",shinsei_KAKU_SUMI_NO)</f>
        <v/>
      </c>
      <c r="G41" s="15"/>
      <c r="H41" s="15"/>
    </row>
    <row r="42" spans="1:8" ht="15" customHeight="1">
      <c r="A42" s="157" t="s">
        <v>32</v>
      </c>
      <c r="B42" s="158"/>
      <c r="G42" s="15"/>
      <c r="H42" s="15"/>
    </row>
    <row r="43" spans="1:8" ht="15" customHeight="1">
      <c r="A43" s="163"/>
      <c r="B43" s="164" t="s">
        <v>1247</v>
      </c>
      <c r="C43" s="14" t="s">
        <v>390</v>
      </c>
      <c r="D43" s="234"/>
      <c r="E43" s="14" t="s">
        <v>74</v>
      </c>
      <c r="F43" s="234" t="str">
        <f>IF(shinsei_ISSUE_DATE="","",shinsei_ISSUE_DATE)</f>
        <v/>
      </c>
      <c r="G43" s="15"/>
      <c r="H43" s="15"/>
    </row>
    <row r="44" spans="1:8" ht="15" customHeight="1">
      <c r="A44" s="165"/>
      <c r="B44" s="166"/>
      <c r="D44" s="98"/>
      <c r="G44" s="15"/>
      <c r="H44" s="15"/>
    </row>
    <row r="45" spans="1:8" ht="15" customHeight="1">
      <c r="A45" s="161" t="s">
        <v>406</v>
      </c>
      <c r="B45" s="162"/>
      <c r="C45" s="15" t="s">
        <v>2523</v>
      </c>
      <c r="D45" s="143"/>
      <c r="E45" s="14" t="s">
        <v>2524</v>
      </c>
      <c r="F45" s="42" t="str">
        <f>IF(shinsei_ISSUE_KOUFU_NAME="","",shinsei_ISSUE_KOUFU_NAME)</f>
        <v/>
      </c>
    </row>
    <row r="46" spans="1:8" ht="15" customHeight="1">
      <c r="A46" s="161"/>
      <c r="B46" s="162"/>
      <c r="D46" s="98"/>
      <c r="G46" s="15"/>
      <c r="H46" s="15"/>
    </row>
    <row r="47" spans="1:8" ht="15" customHeight="1">
      <c r="A47" s="196" t="s">
        <v>2619</v>
      </c>
      <c r="B47" s="197"/>
      <c r="D47" s="15"/>
      <c r="F47" s="15"/>
      <c r="G47" s="15"/>
      <c r="H47" s="15"/>
    </row>
    <row r="48" spans="1:8" ht="15" customHeight="1">
      <c r="A48" s="198"/>
      <c r="B48" s="199" t="s">
        <v>418</v>
      </c>
      <c r="C48" s="14" t="s">
        <v>2620</v>
      </c>
      <c r="D48" s="15"/>
      <c r="E48" s="14" t="s">
        <v>2621</v>
      </c>
      <c r="F48" s="15" t="str">
        <f>IF(shinsei_build_p6_01_PAGE6_KOUZOU_KEISAN_KIND__005=1,"■","□")</f>
        <v>□</v>
      </c>
      <c r="G48" s="15"/>
      <c r="H48" s="15"/>
    </row>
    <row r="49" spans="1:8" ht="15" customHeight="1">
      <c r="A49" s="198"/>
      <c r="B49" s="199" t="s">
        <v>2622</v>
      </c>
      <c r="C49" s="14" t="s">
        <v>2623</v>
      </c>
      <c r="D49" s="15"/>
      <c r="E49" s="14" t="s">
        <v>2624</v>
      </c>
      <c r="F49" s="15" t="str">
        <f>IF(shinsei_build_p6_01_PAGE6_KOUZOU_KEISAN_KIND__004=1,"■","□")</f>
        <v>□</v>
      </c>
      <c r="G49" s="15"/>
      <c r="H49" s="15"/>
    </row>
    <row r="50" spans="1:8" ht="15" customHeight="1">
      <c r="A50" s="198"/>
      <c r="B50" s="199" t="s">
        <v>2625</v>
      </c>
      <c r="C50" s="14" t="s">
        <v>2626</v>
      </c>
      <c r="D50" s="15"/>
      <c r="E50" s="14" t="s">
        <v>2627</v>
      </c>
      <c r="F50" s="15" t="str">
        <f>IF(shinsei_build_p6_01_PAGE6_KOUZOU_KEISAN_KIND__002=1,"■","□")</f>
        <v>□</v>
      </c>
      <c r="G50" s="15"/>
      <c r="H50" s="15"/>
    </row>
    <row r="51" spans="1:8" ht="15" customHeight="1">
      <c r="A51" s="130" t="s">
        <v>2690</v>
      </c>
      <c r="B51" s="131"/>
      <c r="C51" s="14" t="s">
        <v>2691</v>
      </c>
      <c r="D51" s="143" t="s">
        <v>3896</v>
      </c>
      <c r="E51" s="14" t="s">
        <v>2692</v>
      </c>
      <c r="F51" s="143" t="str">
        <f>IF(wskakunin_KIKAN_NAME="","",wskakunin_KIKAN_NAME)</f>
        <v>一般財団法人 岩手県建築住宅センター</v>
      </c>
      <c r="G51" s="15"/>
      <c r="H51" s="15"/>
    </row>
    <row r="52" spans="1:8" ht="15" customHeight="1">
      <c r="A52" s="2" t="s">
        <v>391</v>
      </c>
      <c r="B52" s="133"/>
      <c r="G52" s="15"/>
      <c r="H52" s="15"/>
    </row>
    <row r="53" spans="1:8" ht="15" customHeight="1">
      <c r="A53" s="9"/>
      <c r="B53" s="134" t="s">
        <v>391</v>
      </c>
      <c r="C53" s="14" t="s">
        <v>2310</v>
      </c>
      <c r="D53" s="238"/>
      <c r="E53" s="14" t="s">
        <v>389</v>
      </c>
      <c r="F53" s="238" t="str">
        <f>IF(wskakunin_SHINSEI_DATE="","",wskakunin_SHINSEI_DATE)</f>
        <v/>
      </c>
      <c r="H53" s="15"/>
    </row>
    <row r="54" spans="1:8" ht="15" customHeight="1">
      <c r="A54" s="44" t="s">
        <v>405</v>
      </c>
      <c r="B54" s="47"/>
      <c r="G54" s="15"/>
      <c r="H54" s="15"/>
    </row>
    <row r="55" spans="1:8" ht="15" customHeight="1">
      <c r="A55" s="81"/>
      <c r="B55" s="132" t="s">
        <v>31</v>
      </c>
      <c r="C55" s="14" t="s">
        <v>408</v>
      </c>
      <c r="D55" s="216"/>
      <c r="E55" s="14" t="s">
        <v>409</v>
      </c>
      <c r="F55" s="143" t="str">
        <f>IF(wskakunin_LAST_ISSUE_NO="","",wskakunin_LAST_ISSUE_NO)</f>
        <v/>
      </c>
      <c r="G55" s="15"/>
      <c r="H55" s="15"/>
    </row>
    <row r="56" spans="1:8" ht="15" customHeight="1">
      <c r="A56" s="81"/>
      <c r="B56" s="132" t="s">
        <v>32</v>
      </c>
      <c r="C56" s="14" t="s">
        <v>410</v>
      </c>
      <c r="D56" s="234"/>
      <c r="E56" s="14" t="s">
        <v>411</v>
      </c>
      <c r="F56" s="234" t="str">
        <f>IF(wskakunin_LAST_ISSUE_DATE="","",wskakunin_LAST_ISSUE_DATE)</f>
        <v/>
      </c>
      <c r="G56" s="15"/>
      <c r="H56" s="15"/>
    </row>
    <row r="57" spans="1:8" ht="15" customHeight="1">
      <c r="A57" s="81"/>
      <c r="B57" s="209" t="s">
        <v>406</v>
      </c>
      <c r="C57" s="14" t="s">
        <v>412</v>
      </c>
      <c r="D57" s="216"/>
      <c r="E57" s="14" t="s">
        <v>413</v>
      </c>
      <c r="F57" s="143" t="str">
        <f>IF(wskakunin_LAST_ISSUE_NAME="","",wskakunin_LAST_ISSUE_NAME)</f>
        <v/>
      </c>
      <c r="G57" s="15"/>
      <c r="H57" s="15"/>
    </row>
    <row r="58" spans="1:8" ht="15" customHeight="1">
      <c r="A58" s="81"/>
      <c r="B58" s="132" t="s">
        <v>407</v>
      </c>
      <c r="C58" s="14" t="s">
        <v>414</v>
      </c>
      <c r="D58" s="216"/>
      <c r="E58" s="14" t="s">
        <v>415</v>
      </c>
      <c r="F58" s="143" t="str">
        <f>IF(wskakunin_P1_HENKOU_GAIYOU="","",wskakunin_P1_HENKOU_GAIYOU)</f>
        <v/>
      </c>
      <c r="G58" s="15"/>
      <c r="H58" s="15"/>
    </row>
    <row r="59" spans="1:8" ht="15" customHeight="1">
      <c r="A59" s="82"/>
      <c r="B59" s="135"/>
      <c r="G59" s="15"/>
      <c r="H59" s="15"/>
    </row>
    <row r="60" spans="1:8" ht="15" customHeight="1">
      <c r="A60" s="161" t="s">
        <v>2658</v>
      </c>
      <c r="B60" s="162"/>
      <c r="D60" s="98"/>
      <c r="E60" s="14" t="s">
        <v>2659</v>
      </c>
      <c r="F60" s="217" t="str">
        <f ca="1">IF(chk_JOB_KIND_kakunin=1,cst_shinsei_ISSUE_NO,cst_wskakunin_LAST_ISSUE_NO)</f>
        <v/>
      </c>
      <c r="G60" s="15"/>
      <c r="H60" s="15"/>
    </row>
    <row r="61" spans="1:8" ht="15" customHeight="1">
      <c r="A61" s="161" t="s">
        <v>2660</v>
      </c>
      <c r="B61" s="162"/>
      <c r="D61" s="98"/>
      <c r="F61" s="15"/>
      <c r="G61" s="15"/>
      <c r="H61" s="15"/>
    </row>
    <row r="62" spans="1:8" ht="15" customHeight="1">
      <c r="A62" s="207" t="s">
        <v>2645</v>
      </c>
      <c r="B62" s="208"/>
      <c r="C62"/>
      <c r="D62" s="202"/>
      <c r="E62" s="14" t="s">
        <v>2646</v>
      </c>
      <c r="F62" s="218" t="str">
        <f ca="1">IF(OR(cst_wsjob_JOB_KIND=101,cst_wsjob_JOB_KIND=102),cst_shinsei_ISSUE_KOUFU_NAME,cst_wskakunin_LAST_ISSUE_NAME)</f>
        <v/>
      </c>
      <c r="G62" s="15"/>
      <c r="H62" s="15"/>
    </row>
    <row r="63" spans="1:8" ht="15" customHeight="1">
      <c r="A63" s="210" t="s">
        <v>2662</v>
      </c>
      <c r="B63" s="211"/>
      <c r="C63"/>
      <c r="D63" s="202"/>
      <c r="E63" s="14" t="s">
        <v>2661</v>
      </c>
      <c r="F63" s="219" t="str">
        <f ca="1">IF(chk_JOB_KIND_kakunin=1,cst_shinsei_ISSUE_DATE,cst_wskakunin_LAST_ISSUE_DATE)</f>
        <v/>
      </c>
      <c r="G63" s="15"/>
      <c r="H63" s="15"/>
    </row>
    <row r="64" spans="1:8" ht="15" customHeight="1">
      <c r="A64" s="81"/>
      <c r="B64" s="201"/>
      <c r="G64" s="15"/>
      <c r="H64" s="15"/>
    </row>
    <row r="65" spans="1:8" ht="15" customHeight="1">
      <c r="A65" s="46" t="s">
        <v>407</v>
      </c>
      <c r="B65" s="47"/>
      <c r="C65" s="14" t="s">
        <v>621</v>
      </c>
      <c r="D65" s="42"/>
      <c r="E65" s="14" t="s">
        <v>622</v>
      </c>
      <c r="F65" s="42" t="str">
        <f>IF(wskakunin_PAGE1_ALTERATION_NOTE="","",wskakunin_PAGE1_ALTERATION_NOTE)</f>
        <v/>
      </c>
    </row>
    <row r="66" spans="1:8" ht="15" customHeight="1">
      <c r="A66" s="49"/>
      <c r="B66" s="61"/>
    </row>
    <row r="67" spans="1:8" ht="15" customHeight="1">
      <c r="A67" s="50" t="s">
        <v>403</v>
      </c>
      <c r="B67" s="114"/>
      <c r="G67" s="15"/>
      <c r="H67" s="15"/>
    </row>
    <row r="68" spans="1:8" ht="15" customHeight="1">
      <c r="A68" s="110"/>
      <c r="B68" s="74" t="s">
        <v>402</v>
      </c>
      <c r="C68" s="14" t="s">
        <v>620</v>
      </c>
      <c r="D68" s="220"/>
      <c r="E68" s="14" t="s">
        <v>404</v>
      </c>
      <c r="F68" s="220" t="str">
        <f>IF(wskakunin_APPLICANT_NAME="","",wskakunin_APPLICANT_NAME)</f>
        <v/>
      </c>
      <c r="G68" s="15"/>
      <c r="H68" s="15"/>
    </row>
    <row r="69" spans="1:8" ht="15" customHeight="1">
      <c r="A69" s="115"/>
      <c r="B69" s="112"/>
      <c r="G69" s="15"/>
      <c r="H69" s="15"/>
    </row>
    <row r="70" spans="1:8" ht="15" customHeight="1">
      <c r="A70" s="44" t="s">
        <v>15</v>
      </c>
      <c r="B70" s="47"/>
      <c r="G70" s="15"/>
      <c r="H70" s="15"/>
    </row>
    <row r="71" spans="1:8" ht="15" customHeight="1">
      <c r="A71" s="81"/>
      <c r="B71" s="75" t="s">
        <v>18</v>
      </c>
      <c r="C71" s="14" t="s">
        <v>377</v>
      </c>
      <c r="D71" s="143"/>
      <c r="E71" s="14" t="s">
        <v>378</v>
      </c>
      <c r="F71" s="143" t="str">
        <f>IF(wskakunin_owner1_JIMU_NAME="", "", wskakunin_owner1_JIMU_NAME)</f>
        <v/>
      </c>
      <c r="G71" s="15"/>
      <c r="H71" s="15"/>
    </row>
    <row r="72" spans="1:8" ht="15" customHeight="1">
      <c r="A72" s="81"/>
      <c r="B72" s="75" t="s">
        <v>89</v>
      </c>
      <c r="C72" s="14" t="s">
        <v>379</v>
      </c>
      <c r="D72" s="143"/>
      <c r="E72" s="14" t="s">
        <v>380</v>
      </c>
      <c r="F72" s="143" t="str">
        <f>IF(wskakunin_owner1_JIMU_NAME_KANA="","",wskakunin_owner1_JIMU_NAME_KANA)</f>
        <v/>
      </c>
      <c r="G72" s="15"/>
      <c r="H72" s="15"/>
    </row>
    <row r="73" spans="1:8" ht="15" customHeight="1">
      <c r="A73" s="81"/>
      <c r="B73" s="75" t="s">
        <v>16</v>
      </c>
      <c r="C73" s="14" t="s">
        <v>381</v>
      </c>
      <c r="D73" s="143"/>
      <c r="E73" s="14" t="s">
        <v>75</v>
      </c>
      <c r="F73" s="143" t="str">
        <f>IF(wskakunin_owner1_POST="", "", wskakunin_owner1_POST)</f>
        <v/>
      </c>
      <c r="G73" s="15"/>
      <c r="H73" s="15"/>
    </row>
    <row r="74" spans="1:8" ht="15" customHeight="1">
      <c r="A74" s="81"/>
      <c r="B74" s="75" t="s">
        <v>90</v>
      </c>
      <c r="C74" s="14" t="s">
        <v>382</v>
      </c>
      <c r="D74" s="143"/>
      <c r="E74" s="14" t="s">
        <v>383</v>
      </c>
      <c r="F74" s="143" t="str">
        <f>IF(wskakunin_owner1_POST_KANA="","",wskakunin_owner1_POST_KANA)</f>
        <v/>
      </c>
      <c r="G74" s="15"/>
      <c r="H74" s="15"/>
    </row>
    <row r="75" spans="1:8" ht="15" customHeight="1">
      <c r="A75" s="81"/>
      <c r="B75" s="75" t="s">
        <v>19</v>
      </c>
      <c r="C75" s="14" t="s">
        <v>57</v>
      </c>
      <c r="D75" s="143"/>
      <c r="E75" s="14" t="s">
        <v>76</v>
      </c>
      <c r="F75" s="143" t="str">
        <f>IF(wskakunin_owner1_NAME="", "", wskakunin_owner1_NAME)</f>
        <v/>
      </c>
      <c r="G75" s="15"/>
      <c r="H75" s="15"/>
    </row>
    <row r="76" spans="1:8" ht="15" customHeight="1">
      <c r="A76" s="48"/>
      <c r="B76" s="75" t="s">
        <v>91</v>
      </c>
      <c r="C76" s="14" t="s">
        <v>58</v>
      </c>
      <c r="D76" s="143"/>
      <c r="E76" s="14" t="s">
        <v>77</v>
      </c>
      <c r="F76" s="143" t="str">
        <f>IF(wskakunin_owner1_NAME_KANA="","",wskakunin_owner1_NAME_KANA)</f>
        <v/>
      </c>
      <c r="G76" s="15"/>
      <c r="H76" s="15"/>
    </row>
    <row r="77" spans="1:8" ht="15" customHeight="1">
      <c r="A77" s="48"/>
      <c r="B77" s="113" t="s">
        <v>92</v>
      </c>
      <c r="D77" s="15"/>
      <c r="E77" s="14" t="s">
        <v>384</v>
      </c>
      <c r="F77" s="143" t="str">
        <f>IF(wskakunin_owner1_JIMU_NAME_KANA="",cst_wskakunin_owner1_NAME_KANA,IF(wskakunin_owner1_POST_KANA="",cst_wskakunin_owner1_NAME_KANA,cst_wskakunin_owner1_JIMU_NAME_KANA&amp;"　"&amp;cst_wskakunin_owner1_POST_KANA&amp;"　"&amp;cst_wskakunin_owner1_NAME_KANA))</f>
        <v/>
      </c>
      <c r="G77" s="15"/>
      <c r="H77" s="15"/>
    </row>
    <row r="78" spans="1:8" ht="15" customHeight="1">
      <c r="A78" s="48"/>
      <c r="B78" s="113" t="s">
        <v>2681</v>
      </c>
      <c r="D78" s="15"/>
      <c r="E78" s="14" t="s">
        <v>2682</v>
      </c>
      <c r="F78" s="143"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78" s="15"/>
      <c r="H78" s="15"/>
    </row>
    <row r="79" spans="1:8" ht="15" customHeight="1">
      <c r="A79" s="48"/>
      <c r="B79" s="75" t="s">
        <v>20</v>
      </c>
      <c r="C79" s="14" t="s">
        <v>59</v>
      </c>
      <c r="D79" s="214"/>
      <c r="E79" s="14" t="s">
        <v>78</v>
      </c>
      <c r="F79" s="143" t="str">
        <f>IF(wskakunin_owner1_ZIP="", "", wskakunin_owner1_ZIP)</f>
        <v/>
      </c>
      <c r="G79" s="15"/>
      <c r="H79" s="15"/>
    </row>
    <row r="80" spans="1:8" ht="15" customHeight="1">
      <c r="A80" s="48"/>
      <c r="B80" s="75"/>
      <c r="E80" s="14" t="s">
        <v>2663</v>
      </c>
      <c r="F80" s="143" t="str">
        <f>IF(wskakunin_owner1_ZIP="","",LEFT(wskakunin_owner1_ZIP,3)&amp;RIGHT(wskakunin_owner1_ZIP,4))</f>
        <v/>
      </c>
      <c r="G80" s="15"/>
      <c r="H80" s="15"/>
    </row>
    <row r="81" spans="1:8" ht="15" customHeight="1">
      <c r="A81" s="48"/>
      <c r="B81" s="75" t="s">
        <v>21</v>
      </c>
      <c r="C81" s="14" t="s">
        <v>60</v>
      </c>
      <c r="D81" s="143"/>
      <c r="E81" s="14" t="s">
        <v>79</v>
      </c>
      <c r="F81" s="143" t="str">
        <f>IF(wskakunin_owner1__address="", "", wskakunin_owner1__address)</f>
        <v/>
      </c>
      <c r="G81" s="15"/>
      <c r="H81" s="15"/>
    </row>
    <row r="82" spans="1:8" ht="15" customHeight="1">
      <c r="A82" s="48"/>
      <c r="B82" s="75" t="s">
        <v>22</v>
      </c>
      <c r="C82" s="14" t="s">
        <v>61</v>
      </c>
      <c r="D82" s="214"/>
      <c r="E82" s="14" t="s">
        <v>80</v>
      </c>
      <c r="F82" s="143" t="str">
        <f>IF(wskakunin_owner1_TEL="", "", wskakunin_owner1_TEL)</f>
        <v/>
      </c>
      <c r="G82" s="15"/>
      <c r="H82" s="15"/>
    </row>
    <row r="83" spans="1:8" ht="15" customHeight="1">
      <c r="A83" s="48"/>
      <c r="B83" s="72" t="s">
        <v>87</v>
      </c>
      <c r="D83" s="15"/>
      <c r="E83" s="14" t="s">
        <v>103</v>
      </c>
      <c r="F83" s="221" t="str">
        <f>IF(wskakunin_owner1_JIMU_NAME="",cst_wskakunin_owner1_NAME,IF(wskakunin_owner1_POST="",cst_wskakunin_owner1_NAME,cst_wskakunin_owner1_JIMU_NAME&amp;"　"&amp;cst_wskakunin_owner1_POST&amp;"　"&amp;cst_wskakunin_owner1_NAME))</f>
        <v/>
      </c>
      <c r="G83" s="55"/>
      <c r="H83" s="55"/>
    </row>
    <row r="84" spans="1:8" ht="15" customHeight="1">
      <c r="A84" s="48"/>
      <c r="B84" s="72" t="s">
        <v>86</v>
      </c>
      <c r="D84" s="15"/>
      <c r="E84" s="14" t="s">
        <v>104</v>
      </c>
      <c r="F84" s="143" t="str">
        <f>IF(wskakunin_owner1_POST&amp;wskakunin_owner1_NAME="","",IF(wskakunin_owner1_POST="",wskakunin_owner1_NAME,wskakunin_owner1_POST&amp;"　"&amp;wskakunin_owner1_NAME))</f>
        <v/>
      </c>
      <c r="G84" s="15"/>
      <c r="H84" s="15"/>
    </row>
    <row r="85" spans="1:8" ht="30" customHeight="1">
      <c r="A85" s="48"/>
      <c r="B85" s="75" t="s">
        <v>85</v>
      </c>
      <c r="D85" s="15"/>
      <c r="E85" s="14" t="s">
        <v>2655</v>
      </c>
      <c r="F85" s="221" t="str">
        <f>wskakunin_owner1_JIMU_NAME&amp;IF(wskakunin_owner1_JIMU_NAME="","",CHAR(10))&amp;cst_wskakunin_owner1__space2</f>
        <v/>
      </c>
      <c r="G85" s="55"/>
      <c r="H85" s="55"/>
    </row>
    <row r="86" spans="1:8" ht="30" customHeight="1">
      <c r="A86" s="48"/>
      <c r="B86" s="140" t="s">
        <v>2684</v>
      </c>
      <c r="D86" s="15"/>
      <c r="E86" s="14" t="s">
        <v>2683</v>
      </c>
      <c r="F86" s="22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
      </c>
      <c r="G86" s="55"/>
      <c r="H86" s="55"/>
    </row>
    <row r="87" spans="1:8" ht="15" customHeight="1">
      <c r="A87" s="49"/>
      <c r="B87" s="83"/>
      <c r="D87" s="15"/>
      <c r="G87" s="55"/>
      <c r="H87" s="55"/>
    </row>
    <row r="88" spans="1:8" ht="15" customHeight="1">
      <c r="A88" s="44" t="s">
        <v>1413</v>
      </c>
      <c r="B88" s="47"/>
      <c r="G88" s="15"/>
      <c r="H88" s="15"/>
    </row>
    <row r="89" spans="1:8" ht="15" customHeight="1">
      <c r="A89" s="81"/>
      <c r="B89" s="75" t="s">
        <v>18</v>
      </c>
      <c r="C89" s="14" t="s">
        <v>1421</v>
      </c>
      <c r="D89" s="143"/>
      <c r="E89" s="14" t="s">
        <v>1422</v>
      </c>
      <c r="F89" s="143" t="str">
        <f>IF(wskakunin_owner2_JIMU_NAME="", "", wskakunin_owner2_JIMU_NAME)</f>
        <v/>
      </c>
      <c r="H89" s="15"/>
    </row>
    <row r="90" spans="1:8" ht="15" customHeight="1">
      <c r="A90" s="81"/>
      <c r="B90" s="75" t="s">
        <v>89</v>
      </c>
      <c r="C90" s="14" t="s">
        <v>1423</v>
      </c>
      <c r="D90" s="143"/>
      <c r="E90" s="14" t="s">
        <v>1424</v>
      </c>
      <c r="F90" s="143" t="str">
        <f>IF(wskakunin_owner2_JIMU_NAME_KANA="","",wskakunin_owner2_JIMU_NAME_KANA)</f>
        <v/>
      </c>
      <c r="H90" s="15"/>
    </row>
    <row r="91" spans="1:8" ht="15" customHeight="1">
      <c r="A91" s="81"/>
      <c r="B91" s="75" t="s">
        <v>16</v>
      </c>
      <c r="C91" s="14" t="s">
        <v>1425</v>
      </c>
      <c r="D91" s="143"/>
      <c r="E91" s="14" t="s">
        <v>1426</v>
      </c>
      <c r="F91" s="143" t="str">
        <f>IF(wskakunin_owner2_POST="", "", wskakunin_owner2_POST)</f>
        <v/>
      </c>
      <c r="H91" s="15"/>
    </row>
    <row r="92" spans="1:8" ht="15" customHeight="1">
      <c r="A92" s="81"/>
      <c r="B92" s="75" t="s">
        <v>90</v>
      </c>
      <c r="C92" s="14" t="s">
        <v>1427</v>
      </c>
      <c r="D92" s="143"/>
      <c r="E92" s="14" t="s">
        <v>1428</v>
      </c>
      <c r="F92" s="143" t="str">
        <f>IF(wskakunin_owner2_POST_KANA="","",wskakunin_owner2_POST_KANA)</f>
        <v/>
      </c>
      <c r="H92" s="15"/>
    </row>
    <row r="93" spans="1:8" ht="15" customHeight="1">
      <c r="A93" s="81"/>
      <c r="B93" s="75" t="s">
        <v>19</v>
      </c>
      <c r="C93" s="14" t="s">
        <v>1429</v>
      </c>
      <c r="D93" s="143"/>
      <c r="E93" s="14" t="s">
        <v>1430</v>
      </c>
      <c r="F93" s="143" t="str">
        <f>IF(wskakunin_owner2_NAME="", "", wskakunin_owner2_NAME)</f>
        <v/>
      </c>
      <c r="H93" s="15"/>
    </row>
    <row r="94" spans="1:8" ht="15" customHeight="1">
      <c r="A94" s="48"/>
      <c r="B94" s="75" t="s">
        <v>91</v>
      </c>
      <c r="C94" s="14" t="s">
        <v>1431</v>
      </c>
      <c r="D94" s="143"/>
      <c r="E94" s="14" t="s">
        <v>1432</v>
      </c>
      <c r="F94" s="143" t="str">
        <f>IF(wskakunin_owner2_NAME_KANA="","",wskakunin_owner2_NAME_KANA)</f>
        <v/>
      </c>
      <c r="H94" s="15"/>
    </row>
    <row r="95" spans="1:8" ht="15" customHeight="1">
      <c r="A95" s="48"/>
      <c r="B95" s="75" t="s">
        <v>20</v>
      </c>
      <c r="C95" s="14" t="s">
        <v>1433</v>
      </c>
      <c r="D95" s="214"/>
      <c r="E95" s="14" t="s">
        <v>1434</v>
      </c>
      <c r="F95" s="143" t="str">
        <f>IF(wskakunin_owner2_ZIP="", "", wskakunin_owner2_ZIP)</f>
        <v/>
      </c>
      <c r="H95" s="15"/>
    </row>
    <row r="96" spans="1:8" ht="15" customHeight="1">
      <c r="A96" s="48"/>
      <c r="B96" s="75" t="s">
        <v>21</v>
      </c>
      <c r="C96" s="14" t="s">
        <v>1435</v>
      </c>
      <c r="D96" s="143"/>
      <c r="E96" s="14" t="s">
        <v>1436</v>
      </c>
      <c r="F96" s="143" t="str">
        <f>IF(wskakunin_owner2__address="", "", wskakunin_owner2__address)</f>
        <v/>
      </c>
      <c r="H96" s="15"/>
    </row>
    <row r="97" spans="1:8" ht="15" customHeight="1">
      <c r="A97" s="48"/>
      <c r="B97" s="75" t="s">
        <v>22</v>
      </c>
      <c r="C97" s="14" t="s">
        <v>1437</v>
      </c>
      <c r="D97" s="214"/>
      <c r="E97" s="14" t="s">
        <v>1438</v>
      </c>
      <c r="F97" s="143" t="str">
        <f>IF(wskakunin_owner2_TEL="", "", wskakunin_owner2_TEL)</f>
        <v/>
      </c>
      <c r="H97" s="15"/>
    </row>
    <row r="98" spans="1:8" ht="15" customHeight="1">
      <c r="A98" s="48"/>
      <c r="B98" s="72" t="s">
        <v>87</v>
      </c>
      <c r="E98" s="14" t="s">
        <v>2640</v>
      </c>
      <c r="F98" s="143" t="str">
        <f>IF(wskakunin_owner2_JIMU_NAME="",cst_wskakunin_owner2_NAME,IF(wskakunin_owner2_POST="",cst_wskakunin_owner2_NAME,cst_wskakunin_owner2_JIMU_NAME&amp;"　"&amp;cst_wskakunin_owner2_POST&amp;"　"&amp;cst_wskakunin_owner2_NAME))</f>
        <v/>
      </c>
      <c r="H98" s="15"/>
    </row>
    <row r="99" spans="1:8" ht="15" customHeight="1">
      <c r="A99" s="48"/>
      <c r="B99" s="205" t="s">
        <v>86</v>
      </c>
      <c r="C99"/>
      <c r="D99" s="200"/>
      <c r="E99" s="14" t="s">
        <v>2654</v>
      </c>
      <c r="F99" s="143" t="str">
        <f>IF(wskakunin_owner2_POST&amp;wskakunin_owner2_NAME="","",IF(wskakunin_owner2_POST="",wskakunin_owner2_NAME,wskakunin_owner2_POST&amp;"　"&amp;wskakunin_owner2_NAME))</f>
        <v/>
      </c>
      <c r="H99" s="15"/>
    </row>
    <row r="100" spans="1:8" ht="24">
      <c r="A100" s="48"/>
      <c r="B100" s="206" t="s">
        <v>85</v>
      </c>
      <c r="C100"/>
      <c r="D100" s="200"/>
      <c r="E100" s="14" t="s">
        <v>2656</v>
      </c>
      <c r="F100" s="221" t="str">
        <f>wskakunin_owner2_JIMU_NAME&amp;IF(wskakunin_owner2_JIMU_NAME="","",CHAR(10))&amp;cst_wskakunin_owner2__space2</f>
        <v/>
      </c>
      <c r="H100" s="15"/>
    </row>
    <row r="101" spans="1:8" ht="15" customHeight="1">
      <c r="A101" s="48"/>
      <c r="B101" s="142"/>
      <c r="D101" s="32"/>
      <c r="F101" s="15"/>
      <c r="H101" s="15"/>
    </row>
    <row r="102" spans="1:8" ht="15" customHeight="1">
      <c r="A102" s="44" t="s">
        <v>1414</v>
      </c>
      <c r="B102" s="47"/>
      <c r="H102" s="15"/>
    </row>
    <row r="103" spans="1:8" ht="15" customHeight="1">
      <c r="A103" s="81"/>
      <c r="B103" s="75" t="s">
        <v>18</v>
      </c>
      <c r="C103" s="14" t="s">
        <v>1439</v>
      </c>
      <c r="D103" s="143"/>
      <c r="E103" s="14" t="s">
        <v>1440</v>
      </c>
      <c r="F103" s="143" t="str">
        <f>IF(wskakunin_owner3_JIMU_NAME="", "", wskakunin_owner3_JIMU_NAME)</f>
        <v/>
      </c>
      <c r="H103" s="15"/>
    </row>
    <row r="104" spans="1:8" ht="15" customHeight="1">
      <c r="A104" s="81"/>
      <c r="B104" s="75" t="s">
        <v>89</v>
      </c>
      <c r="C104" s="14" t="s">
        <v>1441</v>
      </c>
      <c r="D104" s="143"/>
      <c r="E104" s="14" t="s">
        <v>1442</v>
      </c>
      <c r="F104" s="143" t="str">
        <f>IF(wskakunin_owner3_JIMU_NAME_KANA="","",wskakunin_owner3_JIMU_NAME_KANA)</f>
        <v/>
      </c>
      <c r="H104" s="15"/>
    </row>
    <row r="105" spans="1:8" ht="15" customHeight="1">
      <c r="A105" s="81"/>
      <c r="B105" s="75" t="s">
        <v>16</v>
      </c>
      <c r="C105" s="14" t="s">
        <v>1443</v>
      </c>
      <c r="D105" s="143"/>
      <c r="E105" s="14" t="s">
        <v>1444</v>
      </c>
      <c r="F105" s="143" t="str">
        <f>IF(wskakunin_owner3_POST="", "", wskakunin_owner3_POST)</f>
        <v/>
      </c>
      <c r="H105" s="15"/>
    </row>
    <row r="106" spans="1:8" ht="15" customHeight="1">
      <c r="A106" s="81"/>
      <c r="B106" s="75" t="s">
        <v>90</v>
      </c>
      <c r="C106" s="14" t="s">
        <v>1445</v>
      </c>
      <c r="D106" s="143"/>
      <c r="E106" s="14" t="s">
        <v>1446</v>
      </c>
      <c r="F106" s="143" t="str">
        <f>IF(wskakunin_owner3_POST_KANA="","",wskakunin_owner3_POST_KANA)</f>
        <v/>
      </c>
      <c r="H106" s="15"/>
    </row>
    <row r="107" spans="1:8" ht="15" customHeight="1">
      <c r="A107" s="81"/>
      <c r="B107" s="75" t="s">
        <v>19</v>
      </c>
      <c r="C107" s="14" t="s">
        <v>1447</v>
      </c>
      <c r="D107" s="143"/>
      <c r="E107" s="14" t="s">
        <v>1448</v>
      </c>
      <c r="F107" s="143" t="str">
        <f>IF(wskakunin_owner3_NAME="", "", wskakunin_owner3_NAME)</f>
        <v/>
      </c>
      <c r="H107" s="15"/>
    </row>
    <row r="108" spans="1:8" ht="15" customHeight="1">
      <c r="A108" s="48"/>
      <c r="B108" s="75" t="s">
        <v>91</v>
      </c>
      <c r="C108" s="14" t="s">
        <v>1449</v>
      </c>
      <c r="D108" s="143"/>
      <c r="E108" s="14" t="s">
        <v>1450</v>
      </c>
      <c r="F108" s="143" t="str">
        <f>IF(wskakunin_owner3_NAME_KANA="","",wskakunin_owner3_NAME_KANA)</f>
        <v/>
      </c>
      <c r="H108" s="15"/>
    </row>
    <row r="109" spans="1:8" ht="15" customHeight="1">
      <c r="A109" s="48"/>
      <c r="B109" s="75" t="s">
        <v>20</v>
      </c>
      <c r="C109" s="14" t="s">
        <v>1451</v>
      </c>
      <c r="D109" s="214"/>
      <c r="E109" s="14" t="s">
        <v>1452</v>
      </c>
      <c r="F109" s="143" t="str">
        <f>IF(wskakunin_owner3_ZIP="", "", wskakunin_owner3_ZIP)</f>
        <v/>
      </c>
      <c r="H109" s="15"/>
    </row>
    <row r="110" spans="1:8" ht="15" customHeight="1">
      <c r="A110" s="48"/>
      <c r="B110" s="75" t="s">
        <v>21</v>
      </c>
      <c r="C110" s="14" t="s">
        <v>1453</v>
      </c>
      <c r="D110" s="143"/>
      <c r="E110" s="14" t="s">
        <v>1454</v>
      </c>
      <c r="F110" s="143" t="str">
        <f>IF(wskakunin_owner3__address="", "", wskakunin_owner3__address)</f>
        <v/>
      </c>
      <c r="H110" s="15"/>
    </row>
    <row r="111" spans="1:8" ht="15" customHeight="1">
      <c r="A111" s="48"/>
      <c r="B111" s="75" t="s">
        <v>22</v>
      </c>
      <c r="C111" s="14" t="s">
        <v>1455</v>
      </c>
      <c r="D111" s="214"/>
      <c r="E111" s="14" t="s">
        <v>1456</v>
      </c>
      <c r="F111" s="143" t="str">
        <f>IF(wskakunin_owner3_TEL="", "", wskakunin_owner3_TEL)</f>
        <v/>
      </c>
      <c r="H111" s="15"/>
    </row>
    <row r="112" spans="1:8" ht="15" customHeight="1">
      <c r="A112" s="48"/>
      <c r="B112" s="72" t="s">
        <v>87</v>
      </c>
      <c r="E112" s="14" t="s">
        <v>2641</v>
      </c>
      <c r="F112" s="143" t="str">
        <f>IF(wskakunin_owner3_JIMU_NAME="",cst_wskakunin_owner3_NAME,IF(wskakunin_owner3_POST="",cst_wskakunin_owner3_NAME,cst_wskakunin_owner3_JIMU_NAME&amp;"　"&amp;cst_wskakunin_owner3_POST&amp;"　"&amp;cst_wskakunin_owner3_NAME))</f>
        <v/>
      </c>
      <c r="H112" s="15"/>
    </row>
    <row r="113" spans="1:8" ht="15" customHeight="1">
      <c r="A113" s="48"/>
      <c r="B113" s="75" t="s">
        <v>86</v>
      </c>
      <c r="E113" s="14" t="s">
        <v>3613</v>
      </c>
      <c r="F113" s="143" t="str">
        <f>IF(wskakunin_owner3_POST&amp;wskakunin_owner3_NAME="","",IF(wskakunin_owner3_POST="",wskakunin_owner3_NAME,wskakunin_owner3_POST&amp;"　"&amp;wskakunin_owner3_NAME))</f>
        <v/>
      </c>
      <c r="H113" s="15"/>
    </row>
    <row r="114" spans="1:8" ht="15" customHeight="1">
      <c r="A114" s="48"/>
      <c r="B114" s="142"/>
      <c r="D114" s="32"/>
      <c r="F114" s="15"/>
      <c r="H114" s="15"/>
    </row>
    <row r="115" spans="1:8" ht="15" customHeight="1">
      <c r="A115" s="44" t="s">
        <v>1415</v>
      </c>
      <c r="B115" s="47"/>
      <c r="H115" s="15"/>
    </row>
    <row r="116" spans="1:8" ht="15" customHeight="1">
      <c r="A116" s="81"/>
      <c r="B116" s="75" t="s">
        <v>18</v>
      </c>
      <c r="C116" s="14" t="s">
        <v>1457</v>
      </c>
      <c r="D116" s="143"/>
      <c r="E116" s="14" t="s">
        <v>1458</v>
      </c>
      <c r="F116" s="143" t="str">
        <f>IF(wskakunin_owner4_JIMU_NAME="", "", wskakunin_owner4_JIMU_NAME)</f>
        <v/>
      </c>
      <c r="H116" s="15"/>
    </row>
    <row r="117" spans="1:8" ht="15" customHeight="1">
      <c r="A117" s="81"/>
      <c r="B117" s="75" t="s">
        <v>89</v>
      </c>
      <c r="C117" s="14" t="s">
        <v>1459</v>
      </c>
      <c r="D117" s="143"/>
      <c r="E117" s="14" t="s">
        <v>1460</v>
      </c>
      <c r="F117" s="143" t="str">
        <f>IF(wskakunin_owner4_JIMU_NAME_KANA="","",wskakunin_owner4_JIMU_NAME_KANA)</f>
        <v/>
      </c>
      <c r="H117" s="15"/>
    </row>
    <row r="118" spans="1:8" ht="15" customHeight="1">
      <c r="A118" s="81"/>
      <c r="B118" s="75" t="s">
        <v>16</v>
      </c>
      <c r="C118" s="14" t="s">
        <v>1461</v>
      </c>
      <c r="D118" s="143"/>
      <c r="E118" s="14" t="s">
        <v>1462</v>
      </c>
      <c r="F118" s="143" t="str">
        <f>IF(wskakunin_owner4_POST="", "", wskakunin_owner4_POST)</f>
        <v/>
      </c>
      <c r="H118" s="15"/>
    </row>
    <row r="119" spans="1:8" ht="15" customHeight="1">
      <c r="A119" s="81"/>
      <c r="B119" s="75" t="s">
        <v>90</v>
      </c>
      <c r="C119" s="14" t="s">
        <v>1463</v>
      </c>
      <c r="D119" s="143"/>
      <c r="E119" s="14" t="s">
        <v>1464</v>
      </c>
      <c r="F119" s="143" t="str">
        <f>IF(wskakunin_owner4_POST_KANA="","",wskakunin_owner4_POST_KANA)</f>
        <v/>
      </c>
      <c r="H119" s="15"/>
    </row>
    <row r="120" spans="1:8" ht="15" customHeight="1">
      <c r="A120" s="81"/>
      <c r="B120" s="75" t="s">
        <v>19</v>
      </c>
      <c r="C120" s="14" t="s">
        <v>1465</v>
      </c>
      <c r="D120" s="143"/>
      <c r="E120" s="14" t="s">
        <v>1466</v>
      </c>
      <c r="F120" s="143" t="str">
        <f>IF(wskakunin_owner4_NAME="", "", wskakunin_owner4_NAME)</f>
        <v/>
      </c>
      <c r="H120" s="15"/>
    </row>
    <row r="121" spans="1:8" ht="15" customHeight="1">
      <c r="A121" s="48"/>
      <c r="B121" s="75" t="s">
        <v>91</v>
      </c>
      <c r="C121" s="14" t="s">
        <v>1467</v>
      </c>
      <c r="D121" s="143"/>
      <c r="E121" s="14" t="s">
        <v>1468</v>
      </c>
      <c r="F121" s="143" t="str">
        <f>IF(wskakunin_owner4_NAME_KANA="","",wskakunin_owner4_NAME_KANA)</f>
        <v/>
      </c>
      <c r="H121" s="15"/>
    </row>
    <row r="122" spans="1:8" ht="15" customHeight="1">
      <c r="A122" s="48"/>
      <c r="B122" s="75" t="s">
        <v>20</v>
      </c>
      <c r="C122" s="14" t="s">
        <v>1469</v>
      </c>
      <c r="D122" s="214"/>
      <c r="E122" s="14" t="s">
        <v>1470</v>
      </c>
      <c r="F122" s="143" t="str">
        <f>IF(wskakunin_owner4_ZIP="", "", wskakunin_owner4_ZIP)</f>
        <v/>
      </c>
      <c r="H122" s="15"/>
    </row>
    <row r="123" spans="1:8" ht="15" customHeight="1">
      <c r="A123" s="48"/>
      <c r="B123" s="75" t="s">
        <v>21</v>
      </c>
      <c r="C123" s="14" t="s">
        <v>1471</v>
      </c>
      <c r="D123" s="143"/>
      <c r="E123" s="14" t="s">
        <v>1472</v>
      </c>
      <c r="F123" s="143" t="str">
        <f>IF(wskakunin_owner4__address="", "", wskakunin_owner4__address)</f>
        <v/>
      </c>
      <c r="H123" s="15"/>
    </row>
    <row r="124" spans="1:8" ht="15" customHeight="1">
      <c r="A124" s="48"/>
      <c r="B124" s="75" t="s">
        <v>22</v>
      </c>
      <c r="C124" s="14" t="s">
        <v>1473</v>
      </c>
      <c r="D124" s="214"/>
      <c r="E124" s="14" t="s">
        <v>1474</v>
      </c>
      <c r="F124" s="143" t="str">
        <f>IF(wskakunin_owner4_TEL="", "", wskakunin_owner4_TEL)</f>
        <v/>
      </c>
      <c r="H124" s="15"/>
    </row>
    <row r="125" spans="1:8" ht="15" customHeight="1">
      <c r="A125" s="48"/>
      <c r="B125" s="72" t="s">
        <v>87</v>
      </c>
      <c r="D125" s="32"/>
      <c r="E125" s="14" t="s">
        <v>2642</v>
      </c>
      <c r="F125" s="143" t="str">
        <f>IF(wskakunin_owner4_JIMU_NAME="",cst_wskakunin_owner4_NAME,IF(wskakunin_owner4_POST="",cst_wskakunin_owner4_NAME,cst_wskakunin_owner4_JIMU_NAME&amp;"　"&amp;cst_wskakunin_owner4_POST&amp;"　"&amp;cst_wskakunin_owner4_NAME))</f>
        <v/>
      </c>
      <c r="H125" s="15"/>
    </row>
    <row r="126" spans="1:8" ht="15" customHeight="1">
      <c r="A126" s="48"/>
      <c r="B126" s="75" t="s">
        <v>86</v>
      </c>
      <c r="D126" s="32"/>
      <c r="E126" s="14" t="s">
        <v>3614</v>
      </c>
      <c r="F126" s="143" t="str">
        <f>IF(wskakunin_owner4_POST&amp;wskakunin_owner4_NAME="","",IF(wskakunin_owner4_POST="",wskakunin_owner4_NAME,wskakunin_owner4_POST&amp;"　"&amp;wskakunin_owner4_NAME))</f>
        <v/>
      </c>
      <c r="H126" s="15"/>
    </row>
    <row r="127" spans="1:8" ht="15" customHeight="1">
      <c r="A127" s="48"/>
      <c r="B127" s="142"/>
      <c r="D127" s="32"/>
      <c r="F127" s="15"/>
      <c r="H127" s="15"/>
    </row>
    <row r="128" spans="1:8" ht="15" customHeight="1">
      <c r="A128" s="44" t="s">
        <v>1416</v>
      </c>
      <c r="B128" s="47"/>
      <c r="H128" s="15"/>
    </row>
    <row r="129" spans="1:8" ht="15" customHeight="1">
      <c r="A129" s="81"/>
      <c r="B129" s="75" t="s">
        <v>18</v>
      </c>
      <c r="C129" s="14" t="s">
        <v>1475</v>
      </c>
      <c r="D129" s="143"/>
      <c r="E129" s="14" t="s">
        <v>1476</v>
      </c>
      <c r="F129" s="143" t="str">
        <f>IF(wskakunin_owner5_JIMU_NAME="", "", wskakunin_owner5_JIMU_NAME)</f>
        <v/>
      </c>
      <c r="H129" s="15"/>
    </row>
    <row r="130" spans="1:8" ht="15" customHeight="1">
      <c r="A130" s="81"/>
      <c r="B130" s="75" t="s">
        <v>89</v>
      </c>
      <c r="C130" s="14" t="s">
        <v>1477</v>
      </c>
      <c r="D130" s="143"/>
      <c r="E130" s="14" t="s">
        <v>1478</v>
      </c>
      <c r="F130" s="143" t="str">
        <f>IF(wskakunin_owner5_JIMU_NAME_KANA="","",wskakunin_owner5_JIMU_NAME_KANA)</f>
        <v/>
      </c>
      <c r="H130" s="15"/>
    </row>
    <row r="131" spans="1:8" ht="15" customHeight="1">
      <c r="A131" s="81"/>
      <c r="B131" s="75" t="s">
        <v>16</v>
      </c>
      <c r="C131" s="14" t="s">
        <v>1479</v>
      </c>
      <c r="D131" s="143"/>
      <c r="E131" s="14" t="s">
        <v>1480</v>
      </c>
      <c r="F131" s="143" t="str">
        <f>IF(wskakunin_owner5_POST="", "", wskakunin_owner5_POST)</f>
        <v/>
      </c>
      <c r="H131" s="15"/>
    </row>
    <row r="132" spans="1:8" ht="15" customHeight="1">
      <c r="A132" s="81"/>
      <c r="B132" s="75" t="s">
        <v>90</v>
      </c>
      <c r="C132" s="14" t="s">
        <v>1481</v>
      </c>
      <c r="D132" s="143"/>
      <c r="E132" s="14" t="s">
        <v>1482</v>
      </c>
      <c r="F132" s="143" t="str">
        <f>IF(wskakunin_owner5_POST_KANA="","",wskakunin_owner5_POST_KANA)</f>
        <v/>
      </c>
      <c r="H132" s="15"/>
    </row>
    <row r="133" spans="1:8" ht="15" customHeight="1">
      <c r="A133" s="81"/>
      <c r="B133" s="75" t="s">
        <v>19</v>
      </c>
      <c r="C133" s="14" t="s">
        <v>1483</v>
      </c>
      <c r="D133" s="143"/>
      <c r="E133" s="14" t="s">
        <v>1484</v>
      </c>
      <c r="F133" s="143" t="str">
        <f>IF(wskakunin_owner5_NAME="", "", wskakunin_owner5_NAME)</f>
        <v/>
      </c>
      <c r="H133" s="15"/>
    </row>
    <row r="134" spans="1:8" ht="15" customHeight="1">
      <c r="A134" s="48"/>
      <c r="B134" s="75" t="s">
        <v>91</v>
      </c>
      <c r="C134" s="14" t="s">
        <v>1485</v>
      </c>
      <c r="D134" s="143"/>
      <c r="E134" s="14" t="s">
        <v>1486</v>
      </c>
      <c r="F134" s="143" t="str">
        <f>IF(wskakunin_owner5_NAME_KANA="","",wskakunin_owner5_NAME_KANA)</f>
        <v/>
      </c>
      <c r="H134" s="15"/>
    </row>
    <row r="135" spans="1:8" ht="15" customHeight="1">
      <c r="A135" s="48"/>
      <c r="B135" s="75" t="s">
        <v>20</v>
      </c>
      <c r="C135" s="14" t="s">
        <v>1487</v>
      </c>
      <c r="D135" s="214"/>
      <c r="E135" s="14" t="s">
        <v>1488</v>
      </c>
      <c r="F135" s="143" t="str">
        <f>IF(wskakunin_owner5_ZIP="", "", wskakunin_owner5_ZIP)</f>
        <v/>
      </c>
      <c r="H135" s="15"/>
    </row>
    <row r="136" spans="1:8" ht="15" customHeight="1">
      <c r="A136" s="48"/>
      <c r="B136" s="75" t="s">
        <v>21</v>
      </c>
      <c r="C136" s="14" t="s">
        <v>1489</v>
      </c>
      <c r="D136" s="143"/>
      <c r="E136" s="14" t="s">
        <v>1490</v>
      </c>
      <c r="F136" s="143" t="str">
        <f>IF(wskakunin_owner5__address="", "", wskakunin_owner5__address)</f>
        <v/>
      </c>
      <c r="H136" s="15"/>
    </row>
    <row r="137" spans="1:8" ht="15" customHeight="1">
      <c r="A137" s="48"/>
      <c r="B137" s="75" t="s">
        <v>22</v>
      </c>
      <c r="C137" s="14" t="s">
        <v>1491</v>
      </c>
      <c r="D137" s="214"/>
      <c r="E137" s="14" t="s">
        <v>1492</v>
      </c>
      <c r="F137" s="143" t="str">
        <f>IF(wskakunin_owner5_TEL="", "", wskakunin_owner5_TEL)</f>
        <v/>
      </c>
      <c r="H137" s="15"/>
    </row>
    <row r="138" spans="1:8" ht="15" customHeight="1">
      <c r="A138" s="48"/>
      <c r="B138" s="72" t="s">
        <v>87</v>
      </c>
      <c r="D138" s="32"/>
      <c r="E138" s="14" t="s">
        <v>2643</v>
      </c>
      <c r="F138" s="143" t="str">
        <f>IF(wskakunin_owner5_JIMU_NAME="",cst_wskakunin_owner5_NAME,IF(wskakunin_owner5_POST="",cst_wskakunin_owner5_NAME,cst_wskakunin_owner5_JIMU_NAME&amp;"　"&amp;cst_wskakunin_owner5_POST&amp;"　"&amp;cst_wskakunin_owner5_NAME))</f>
        <v/>
      </c>
      <c r="H138" s="15"/>
    </row>
    <row r="139" spans="1:8" ht="15" customHeight="1">
      <c r="A139" s="48"/>
      <c r="B139" s="142"/>
      <c r="D139" s="32"/>
      <c r="F139" s="15"/>
      <c r="H139" s="15"/>
    </row>
    <row r="140" spans="1:8" ht="15" customHeight="1">
      <c r="A140" s="44" t="s">
        <v>1417</v>
      </c>
      <c r="B140" s="47"/>
      <c r="H140" s="15"/>
    </row>
    <row r="141" spans="1:8" ht="15" customHeight="1">
      <c r="A141" s="81"/>
      <c r="B141" s="75" t="s">
        <v>18</v>
      </c>
      <c r="C141" s="14" t="s">
        <v>1493</v>
      </c>
      <c r="D141" s="143"/>
      <c r="E141" s="14" t="s">
        <v>1494</v>
      </c>
      <c r="F141" s="143" t="str">
        <f>IF(wskakunin_owner6_JIMU_NAME="", "", wskakunin_owner6_JIMU_NAME)</f>
        <v/>
      </c>
      <c r="H141" s="15"/>
    </row>
    <row r="142" spans="1:8" ht="15" customHeight="1">
      <c r="A142" s="81"/>
      <c r="B142" s="75" t="s">
        <v>89</v>
      </c>
      <c r="C142" s="14" t="s">
        <v>1495</v>
      </c>
      <c r="D142" s="143"/>
      <c r="E142" s="14" t="s">
        <v>1496</v>
      </c>
      <c r="F142" s="143" t="str">
        <f>IF(wskakunin_owner6_JIMU_NAME_KANA="","",wskakunin_owner6_JIMU_NAME_KANA)</f>
        <v/>
      </c>
      <c r="H142" s="15"/>
    </row>
    <row r="143" spans="1:8" ht="15" customHeight="1">
      <c r="A143" s="81"/>
      <c r="B143" s="75" t="s">
        <v>16</v>
      </c>
      <c r="C143" s="14" t="s">
        <v>1497</v>
      </c>
      <c r="D143" s="143"/>
      <c r="E143" s="14" t="s">
        <v>1498</v>
      </c>
      <c r="F143" s="143" t="str">
        <f>IF(wskakunin_owner6_POST="", "", wskakunin_owner6_POST)</f>
        <v/>
      </c>
      <c r="H143" s="15"/>
    </row>
    <row r="144" spans="1:8" ht="15" customHeight="1">
      <c r="A144" s="81"/>
      <c r="B144" s="75" t="s">
        <v>90</v>
      </c>
      <c r="C144" s="14" t="s">
        <v>1499</v>
      </c>
      <c r="D144" s="143"/>
      <c r="E144" s="14" t="s">
        <v>1500</v>
      </c>
      <c r="F144" s="143" t="str">
        <f>IF(wskakunin_owner6_POST_KANA="","",wskakunin_owner6_POST_KANA)</f>
        <v/>
      </c>
      <c r="H144" s="15"/>
    </row>
    <row r="145" spans="1:8" ht="15" customHeight="1">
      <c r="A145" s="81"/>
      <c r="B145" s="75" t="s">
        <v>19</v>
      </c>
      <c r="C145" s="14" t="s">
        <v>1501</v>
      </c>
      <c r="D145" s="143"/>
      <c r="E145" s="14" t="s">
        <v>1502</v>
      </c>
      <c r="F145" s="143" t="str">
        <f>IF(wskakunin_owner6_NAME="", "", wskakunin_owner6_NAME)</f>
        <v/>
      </c>
      <c r="H145" s="15"/>
    </row>
    <row r="146" spans="1:8" ht="15" customHeight="1">
      <c r="A146" s="48"/>
      <c r="B146" s="75" t="s">
        <v>91</v>
      </c>
      <c r="C146" s="14" t="s">
        <v>1503</v>
      </c>
      <c r="D146" s="143"/>
      <c r="E146" s="14" t="s">
        <v>1504</v>
      </c>
      <c r="F146" s="143" t="str">
        <f>IF(wskakunin_owner6_NAME_KANA="","",wskakunin_owner6_NAME_KANA)</f>
        <v/>
      </c>
      <c r="H146" s="15"/>
    </row>
    <row r="147" spans="1:8" ht="15" customHeight="1">
      <c r="A147" s="48"/>
      <c r="B147" s="75" t="s">
        <v>20</v>
      </c>
      <c r="C147" s="14" t="s">
        <v>1505</v>
      </c>
      <c r="D147" s="214"/>
      <c r="E147" s="14" t="s">
        <v>1506</v>
      </c>
      <c r="F147" s="143" t="str">
        <f>IF(wskakunin_owner6_ZIP="", "", wskakunin_owner6_ZIP)</f>
        <v/>
      </c>
      <c r="H147" s="15"/>
    </row>
    <row r="148" spans="1:8" ht="15" customHeight="1">
      <c r="A148" s="48"/>
      <c r="B148" s="75" t="s">
        <v>21</v>
      </c>
      <c r="C148" s="14" t="s">
        <v>1507</v>
      </c>
      <c r="D148" s="143"/>
      <c r="E148" s="14" t="s">
        <v>1508</v>
      </c>
      <c r="F148" s="143" t="str">
        <f>IF(wskakunin_owner6__address="", "", wskakunin_owner6__address)</f>
        <v/>
      </c>
      <c r="H148" s="15"/>
    </row>
    <row r="149" spans="1:8" ht="15" customHeight="1">
      <c r="A149" s="48"/>
      <c r="B149" s="75" t="s">
        <v>22</v>
      </c>
      <c r="C149" s="14" t="s">
        <v>1509</v>
      </c>
      <c r="D149" s="214"/>
      <c r="E149" s="14" t="s">
        <v>1510</v>
      </c>
      <c r="F149" s="143" t="str">
        <f>IF(wskakunin_owner6_TEL="", "", wskakunin_owner6_TEL)</f>
        <v/>
      </c>
      <c r="H149" s="15"/>
    </row>
    <row r="150" spans="1:8" ht="15" customHeight="1">
      <c r="A150" s="48"/>
      <c r="B150" s="75" t="s">
        <v>85</v>
      </c>
      <c r="E150" s="14" t="s">
        <v>2644</v>
      </c>
      <c r="F150" s="143" t="str">
        <f>wskakunin_owner6_JIMU_NAME&amp;IF(wskakunin_owner6_JIMU_NAME="","",CHAR(10))&amp;cst_wskakunin_owner6__space2</f>
        <v/>
      </c>
      <c r="H150" s="15"/>
    </row>
    <row r="151" spans="1:8" ht="15" customHeight="1">
      <c r="A151" s="48"/>
      <c r="B151" s="142"/>
      <c r="D151" s="32"/>
      <c r="F151" s="15"/>
      <c r="H151" s="15"/>
    </row>
    <row r="152" spans="1:8" ht="15" customHeight="1">
      <c r="A152" s="44" t="s">
        <v>1418</v>
      </c>
      <c r="B152" s="47"/>
      <c r="H152" s="15"/>
    </row>
    <row r="153" spans="1:8" ht="15" customHeight="1">
      <c r="A153" s="81"/>
      <c r="B153" s="75" t="s">
        <v>18</v>
      </c>
      <c r="C153" s="14" t="s">
        <v>1511</v>
      </c>
      <c r="D153" s="143"/>
      <c r="E153" s="14" t="s">
        <v>1512</v>
      </c>
      <c r="F153" s="143" t="str">
        <f>IF(wskakunin_owner7_JIMU_NAME="", "", wskakunin_owner7_JIMU_NAME)</f>
        <v/>
      </c>
      <c r="H153" s="15"/>
    </row>
    <row r="154" spans="1:8" ht="15" customHeight="1">
      <c r="A154" s="81"/>
      <c r="B154" s="75" t="s">
        <v>89</v>
      </c>
      <c r="C154" s="14" t="s">
        <v>1513</v>
      </c>
      <c r="D154" s="143"/>
      <c r="E154" s="14" t="s">
        <v>1514</v>
      </c>
      <c r="F154" s="143" t="str">
        <f>IF(wskakunin_owner7_JIMU_NAME_KANA="","",wskakunin_owner7_JIMU_NAME_KANA)</f>
        <v/>
      </c>
      <c r="H154" s="15"/>
    </row>
    <row r="155" spans="1:8" ht="15" customHeight="1">
      <c r="A155" s="81"/>
      <c r="B155" s="75" t="s">
        <v>16</v>
      </c>
      <c r="C155" s="14" t="s">
        <v>1515</v>
      </c>
      <c r="D155" s="143"/>
      <c r="E155" s="14" t="s">
        <v>1516</v>
      </c>
      <c r="F155" s="143" t="str">
        <f>IF(wskakunin_owner7_POST="", "", wskakunin_owner7_POST)</f>
        <v/>
      </c>
      <c r="H155" s="15"/>
    </row>
    <row r="156" spans="1:8" ht="15" customHeight="1">
      <c r="A156" s="81"/>
      <c r="B156" s="75" t="s">
        <v>90</v>
      </c>
      <c r="C156" s="14" t="s">
        <v>1517</v>
      </c>
      <c r="D156" s="143"/>
      <c r="E156" s="14" t="s">
        <v>1518</v>
      </c>
      <c r="F156" s="143" t="str">
        <f>IF(wskakunin_owner7_POST_KANA="","",wskakunin_owner7_POST_KANA)</f>
        <v/>
      </c>
      <c r="H156" s="15"/>
    </row>
    <row r="157" spans="1:8" ht="15" customHeight="1">
      <c r="A157" s="81"/>
      <c r="B157" s="75" t="s">
        <v>19</v>
      </c>
      <c r="C157" s="14" t="s">
        <v>1519</v>
      </c>
      <c r="D157" s="143"/>
      <c r="E157" s="14" t="s">
        <v>1520</v>
      </c>
      <c r="F157" s="143" t="str">
        <f>IF(wskakunin_owner7_NAME="", "", wskakunin_owner7_NAME)</f>
        <v/>
      </c>
      <c r="H157" s="15"/>
    </row>
    <row r="158" spans="1:8" ht="15" customHeight="1">
      <c r="A158" s="48"/>
      <c r="B158" s="75" t="s">
        <v>91</v>
      </c>
      <c r="C158" s="14" t="s">
        <v>1521</v>
      </c>
      <c r="D158" s="143"/>
      <c r="E158" s="14" t="s">
        <v>1522</v>
      </c>
      <c r="F158" s="143" t="str">
        <f>IF(wskakunin_owner7_NAME_KANA="","",wskakunin_owner7_NAME_KANA)</f>
        <v/>
      </c>
      <c r="H158" s="15"/>
    </row>
    <row r="159" spans="1:8" ht="15" customHeight="1">
      <c r="A159" s="48"/>
      <c r="B159" s="75" t="s">
        <v>20</v>
      </c>
      <c r="C159" s="14" t="s">
        <v>1523</v>
      </c>
      <c r="D159" s="214"/>
      <c r="E159" s="14" t="s">
        <v>1524</v>
      </c>
      <c r="F159" s="143" t="str">
        <f>IF(wskakunin_owner7_ZIP="", "", wskakunin_owner7_ZIP)</f>
        <v/>
      </c>
      <c r="H159" s="15"/>
    </row>
    <row r="160" spans="1:8" ht="15" customHeight="1">
      <c r="A160" s="48"/>
      <c r="B160" s="75" t="s">
        <v>21</v>
      </c>
      <c r="C160" s="14" t="s">
        <v>1525</v>
      </c>
      <c r="D160" s="143"/>
      <c r="E160" s="14" t="s">
        <v>1526</v>
      </c>
      <c r="F160" s="143" t="str">
        <f>IF(wskakunin_owner7__address="", "", wskakunin_owner7__address)</f>
        <v/>
      </c>
      <c r="H160" s="15"/>
    </row>
    <row r="161" spans="1:8" ht="15" customHeight="1">
      <c r="A161" s="48"/>
      <c r="B161" s="75" t="s">
        <v>22</v>
      </c>
      <c r="C161" s="14" t="s">
        <v>1527</v>
      </c>
      <c r="D161" s="214"/>
      <c r="E161" s="14" t="s">
        <v>1528</v>
      </c>
      <c r="F161" s="143" t="str">
        <f>IF(wskakunin_owner7_TEL="", "", wskakunin_owner7_TEL)</f>
        <v/>
      </c>
      <c r="H161" s="15"/>
    </row>
    <row r="162" spans="1:8" ht="15" customHeight="1">
      <c r="A162" s="48"/>
      <c r="B162" s="142"/>
      <c r="D162" s="32"/>
      <c r="F162" s="15"/>
      <c r="H162" s="15"/>
    </row>
    <row r="163" spans="1:8" ht="15" customHeight="1">
      <c r="A163" s="44" t="s">
        <v>1419</v>
      </c>
      <c r="B163" s="47"/>
      <c r="H163" s="15"/>
    </row>
    <row r="164" spans="1:8" ht="15" customHeight="1">
      <c r="A164" s="81"/>
      <c r="B164" s="75" t="s">
        <v>18</v>
      </c>
      <c r="C164" s="14" t="s">
        <v>1529</v>
      </c>
      <c r="D164" s="143"/>
      <c r="E164" s="14" t="s">
        <v>1530</v>
      </c>
      <c r="F164" s="143" t="str">
        <f>IF(wskakunin_owner8_JIMU_NAME="", "", wskakunin_owner8_JIMU_NAME)</f>
        <v/>
      </c>
      <c r="H164" s="15"/>
    </row>
    <row r="165" spans="1:8" ht="15" customHeight="1">
      <c r="A165" s="81"/>
      <c r="B165" s="75" t="s">
        <v>89</v>
      </c>
      <c r="C165" s="14" t="s">
        <v>1531</v>
      </c>
      <c r="D165" s="143"/>
      <c r="E165" s="14" t="s">
        <v>1532</v>
      </c>
      <c r="F165" s="143" t="str">
        <f>IF(wskakunin_owner8_JIMU_NAME_KANA="","",wskakunin_owner8_JIMU_NAME_KANA)</f>
        <v/>
      </c>
      <c r="H165" s="15"/>
    </row>
    <row r="166" spans="1:8" ht="15" customHeight="1">
      <c r="A166" s="81"/>
      <c r="B166" s="75" t="s">
        <v>16</v>
      </c>
      <c r="C166" s="14" t="s">
        <v>1533</v>
      </c>
      <c r="D166" s="143"/>
      <c r="E166" s="14" t="s">
        <v>1534</v>
      </c>
      <c r="F166" s="143" t="str">
        <f>IF(wskakunin_owner8_POST="", "", wskakunin_owner8_POST)</f>
        <v/>
      </c>
      <c r="H166" s="15"/>
    </row>
    <row r="167" spans="1:8" ht="15" customHeight="1">
      <c r="A167" s="81"/>
      <c r="B167" s="75" t="s">
        <v>90</v>
      </c>
      <c r="C167" s="14" t="s">
        <v>1535</v>
      </c>
      <c r="D167" s="143"/>
      <c r="E167" s="14" t="s">
        <v>1536</v>
      </c>
      <c r="F167" s="143" t="str">
        <f>IF(wskakunin_owner8_POST_KANA="","",wskakunin_owner8_POST_KANA)</f>
        <v/>
      </c>
      <c r="H167" s="15"/>
    </row>
    <row r="168" spans="1:8" ht="15" customHeight="1">
      <c r="A168" s="81"/>
      <c r="B168" s="75" t="s">
        <v>19</v>
      </c>
      <c r="C168" s="14" t="s">
        <v>1537</v>
      </c>
      <c r="D168" s="143"/>
      <c r="E168" s="14" t="s">
        <v>1538</v>
      </c>
      <c r="F168" s="143" t="str">
        <f>IF(wskakunin_owner8_NAME="", "", wskakunin_owner8_NAME)</f>
        <v/>
      </c>
      <c r="H168" s="15"/>
    </row>
    <row r="169" spans="1:8" ht="15" customHeight="1">
      <c r="A169" s="48"/>
      <c r="B169" s="75" t="s">
        <v>91</v>
      </c>
      <c r="C169" s="14" t="s">
        <v>1539</v>
      </c>
      <c r="D169" s="143"/>
      <c r="E169" s="14" t="s">
        <v>1540</v>
      </c>
      <c r="F169" s="143" t="str">
        <f>IF(wskakunin_owner8_NAME_KANA="","",wskakunin_owner8_NAME_KANA)</f>
        <v/>
      </c>
      <c r="H169" s="15"/>
    </row>
    <row r="170" spans="1:8" ht="15" customHeight="1">
      <c r="A170" s="48"/>
      <c r="B170" s="75" t="s">
        <v>20</v>
      </c>
      <c r="C170" s="14" t="s">
        <v>1541</v>
      </c>
      <c r="D170" s="214"/>
      <c r="E170" s="14" t="s">
        <v>1542</v>
      </c>
      <c r="F170" s="143" t="str">
        <f>IF(wskakunin_owner8_ZIP="", "", wskakunin_owner8_ZIP)</f>
        <v/>
      </c>
      <c r="H170" s="15"/>
    </row>
    <row r="171" spans="1:8" ht="15" customHeight="1">
      <c r="A171" s="48"/>
      <c r="B171" s="75" t="s">
        <v>21</v>
      </c>
      <c r="C171" s="14" t="s">
        <v>1543</v>
      </c>
      <c r="D171" s="143"/>
      <c r="E171" s="14" t="s">
        <v>1544</v>
      </c>
      <c r="F171" s="143" t="str">
        <f>IF(wskakunin_owner8__address="", "", wskakunin_owner8__address)</f>
        <v/>
      </c>
      <c r="H171" s="15"/>
    </row>
    <row r="172" spans="1:8" ht="15" customHeight="1">
      <c r="A172" s="48"/>
      <c r="B172" s="75" t="s">
        <v>22</v>
      </c>
      <c r="C172" s="14" t="s">
        <v>1545</v>
      </c>
      <c r="D172" s="214"/>
      <c r="E172" s="14" t="s">
        <v>1546</v>
      </c>
      <c r="F172" s="143" t="str">
        <f>IF(wskakunin_owner8_TEL="", "", wskakunin_owner8_TEL)</f>
        <v/>
      </c>
      <c r="H172" s="15"/>
    </row>
    <row r="173" spans="1:8" ht="15" customHeight="1">
      <c r="A173" s="48"/>
      <c r="B173" s="142"/>
      <c r="D173" s="32"/>
      <c r="F173" s="15"/>
      <c r="H173" s="15"/>
    </row>
    <row r="174" spans="1:8" ht="15" customHeight="1">
      <c r="A174" s="44" t="s">
        <v>1420</v>
      </c>
      <c r="B174" s="47"/>
      <c r="H174" s="15"/>
    </row>
    <row r="175" spans="1:8" ht="15" customHeight="1">
      <c r="A175" s="81"/>
      <c r="B175" s="75" t="s">
        <v>18</v>
      </c>
      <c r="C175" s="14" t="s">
        <v>1547</v>
      </c>
      <c r="D175" s="143"/>
      <c r="E175" s="14" t="s">
        <v>1548</v>
      </c>
      <c r="F175" s="143" t="str">
        <f>IF(wskakunin_owner9_JIMU_NAME="", "", wskakunin_owner9_JIMU_NAME)</f>
        <v/>
      </c>
      <c r="H175" s="15"/>
    </row>
    <row r="176" spans="1:8" ht="15" customHeight="1">
      <c r="A176" s="81"/>
      <c r="B176" s="75" t="s">
        <v>89</v>
      </c>
      <c r="C176" s="14" t="s">
        <v>1549</v>
      </c>
      <c r="D176" s="143"/>
      <c r="E176" s="14" t="s">
        <v>1550</v>
      </c>
      <c r="F176" s="143" t="str">
        <f>IF(wskakunin_owner9_JIMU_NAME_KANA="","",wskakunin_owner9_JIMU_NAME_KANA)</f>
        <v/>
      </c>
      <c r="H176" s="15"/>
    </row>
    <row r="177" spans="1:8" ht="15" customHeight="1">
      <c r="A177" s="81"/>
      <c r="B177" s="75" t="s">
        <v>16</v>
      </c>
      <c r="C177" s="14" t="s">
        <v>1551</v>
      </c>
      <c r="D177" s="143"/>
      <c r="E177" s="14" t="s">
        <v>1552</v>
      </c>
      <c r="F177" s="143" t="str">
        <f>IF(wskakunin_owner9_POST="", "", wskakunin_owner9_POST)</f>
        <v/>
      </c>
      <c r="H177" s="15"/>
    </row>
    <row r="178" spans="1:8" ht="15" customHeight="1">
      <c r="A178" s="81"/>
      <c r="B178" s="75" t="s">
        <v>90</v>
      </c>
      <c r="C178" s="14" t="s">
        <v>1553</v>
      </c>
      <c r="D178" s="143"/>
      <c r="E178" s="14" t="s">
        <v>1554</v>
      </c>
      <c r="F178" s="143" t="str">
        <f>IF(wskakunin_owner9_POST_KANA="","",wskakunin_owner9_POST_KANA)</f>
        <v/>
      </c>
      <c r="H178" s="15"/>
    </row>
    <row r="179" spans="1:8" ht="15" customHeight="1">
      <c r="A179" s="81"/>
      <c r="B179" s="75" t="s">
        <v>19</v>
      </c>
      <c r="C179" s="14" t="s">
        <v>1555</v>
      </c>
      <c r="D179" s="143"/>
      <c r="E179" s="14" t="s">
        <v>1556</v>
      </c>
      <c r="F179" s="143" t="str">
        <f>IF(wskakunin_owner9_NAME="", "", wskakunin_owner9_NAME)</f>
        <v/>
      </c>
      <c r="H179" s="15"/>
    </row>
    <row r="180" spans="1:8" ht="15" customHeight="1">
      <c r="A180" s="48"/>
      <c r="B180" s="75" t="s">
        <v>91</v>
      </c>
      <c r="C180" s="14" t="s">
        <v>1557</v>
      </c>
      <c r="D180" s="143"/>
      <c r="E180" s="14" t="s">
        <v>1558</v>
      </c>
      <c r="F180" s="143" t="str">
        <f>IF(wskakunin_owner9_NAME_KANA="","",wskakunin_owner9_NAME_KANA)</f>
        <v/>
      </c>
      <c r="H180" s="15"/>
    </row>
    <row r="181" spans="1:8" ht="15" customHeight="1">
      <c r="A181" s="48"/>
      <c r="B181" s="75" t="s">
        <v>20</v>
      </c>
      <c r="C181" s="14" t="s">
        <v>1559</v>
      </c>
      <c r="D181" s="214"/>
      <c r="E181" s="14" t="s">
        <v>1560</v>
      </c>
      <c r="F181" s="143" t="str">
        <f>IF(wskakunin_owner9_ZIP="", "", wskakunin_owner9_ZIP)</f>
        <v/>
      </c>
      <c r="H181" s="15"/>
    </row>
    <row r="182" spans="1:8" ht="15" customHeight="1">
      <c r="A182" s="48"/>
      <c r="B182" s="75" t="s">
        <v>21</v>
      </c>
      <c r="C182" s="14" t="s">
        <v>1561</v>
      </c>
      <c r="D182" s="143"/>
      <c r="E182" s="14" t="s">
        <v>1562</v>
      </c>
      <c r="F182" s="143" t="str">
        <f>IF(wskakunin_owner9__address="", "", wskakunin_owner9__address)</f>
        <v/>
      </c>
      <c r="H182" s="15"/>
    </row>
    <row r="183" spans="1:8" ht="15" customHeight="1">
      <c r="A183" s="48"/>
      <c r="B183" s="75" t="s">
        <v>22</v>
      </c>
      <c r="C183" s="14" t="s">
        <v>1563</v>
      </c>
      <c r="D183" s="214"/>
      <c r="E183" s="14" t="s">
        <v>1564</v>
      </c>
      <c r="F183" s="143" t="str">
        <f>IF(wskakunin_owner9_TEL="", "", wskakunin_owner9_TEL)</f>
        <v/>
      </c>
      <c r="H183" s="15"/>
    </row>
    <row r="184" spans="1:8" ht="15" customHeight="1">
      <c r="A184" s="48"/>
      <c r="B184" s="142"/>
      <c r="D184" s="32"/>
      <c r="F184" s="15"/>
      <c r="H184" s="15"/>
    </row>
    <row r="185" spans="1:8" ht="15" customHeight="1">
      <c r="A185" s="50" t="s">
        <v>33</v>
      </c>
      <c r="B185" s="109"/>
      <c r="G185" s="15"/>
      <c r="H185" s="15"/>
    </row>
    <row r="186" spans="1:8" ht="15" customHeight="1">
      <c r="A186" s="110"/>
      <c r="B186" s="74" t="s">
        <v>540</v>
      </c>
      <c r="C186" s="14" t="s">
        <v>506</v>
      </c>
      <c r="D186" s="220"/>
      <c r="E186" s="14" t="s">
        <v>81</v>
      </c>
      <c r="F186" s="220" t="str">
        <f>IF(wskakunin_dairi1__sikaku="", "", wskakunin_dairi1__sikaku)</f>
        <v/>
      </c>
      <c r="G186" s="15"/>
      <c r="H186" s="15"/>
    </row>
    <row r="187" spans="1:8" ht="15" customHeight="1">
      <c r="A187" s="110"/>
      <c r="B187" s="74" t="s">
        <v>541</v>
      </c>
      <c r="C187" s="14" t="s">
        <v>538</v>
      </c>
      <c r="D187" s="220"/>
      <c r="E187" s="14" t="s">
        <v>574</v>
      </c>
      <c r="F187" s="220" t="str">
        <f>IF(wskakunin_dairi1_SIKAKU__label="","",wskakunin_dairi1_SIKAKU__label)</f>
        <v/>
      </c>
      <c r="G187" s="15"/>
      <c r="H187" s="15"/>
    </row>
    <row r="188" spans="1:8" ht="15" customHeight="1">
      <c r="A188" s="110"/>
      <c r="B188" s="74" t="s">
        <v>536</v>
      </c>
      <c r="C188" s="14" t="s">
        <v>1366</v>
      </c>
      <c r="D188" s="220"/>
      <c r="E188" s="14" t="s">
        <v>575</v>
      </c>
      <c r="F188" s="220" t="str">
        <f>IF(wskakunin_dairi1_TOUROKU_KIKAN__label="","",wskakunin_dairi1_TOUROKU_KIKAN__label)</f>
        <v/>
      </c>
      <c r="G188" s="15"/>
      <c r="H188" s="15"/>
    </row>
    <row r="189" spans="1:8" ht="15" customHeight="1">
      <c r="A189" s="110"/>
      <c r="B189" s="74" t="s">
        <v>537</v>
      </c>
      <c r="C189" s="14" t="s">
        <v>539</v>
      </c>
      <c r="D189" s="222"/>
      <c r="E189" s="14" t="s">
        <v>573</v>
      </c>
      <c r="F189" s="220" t="str">
        <f>IF(wskakunin_dairi1_KENTIKUSI_NO="","",wskakunin_dairi1_KENTIKUSI_NO)</f>
        <v/>
      </c>
      <c r="G189" s="15"/>
      <c r="H189" s="15"/>
    </row>
    <row r="190" spans="1:8" ht="15" customHeight="1">
      <c r="A190" s="59"/>
      <c r="B190" s="74" t="s">
        <v>19</v>
      </c>
      <c r="C190" s="14" t="s">
        <v>62</v>
      </c>
      <c r="D190" s="220"/>
      <c r="E190" s="14" t="s">
        <v>82</v>
      </c>
      <c r="F190" s="220" t="str">
        <f>IF(wskakunin_dairi1_NAME="", "", wskakunin_dairi1_NAME)</f>
        <v/>
      </c>
      <c r="G190" s="15"/>
      <c r="H190" s="15"/>
    </row>
    <row r="191" spans="1:8" ht="15" customHeight="1">
      <c r="A191" s="59"/>
      <c r="B191" s="74" t="s">
        <v>27</v>
      </c>
      <c r="C191" s="14" t="s">
        <v>63</v>
      </c>
      <c r="D191" s="220"/>
      <c r="E191" s="14" t="s">
        <v>83</v>
      </c>
      <c r="F191" s="220" t="str">
        <f>IF(wskakunin_dairi1_NAME_KANA="", "", wskakunin_dairi1_NAME_KANA)</f>
        <v/>
      </c>
      <c r="G191" s="15"/>
      <c r="H191" s="15"/>
    </row>
    <row r="192" spans="1:8" ht="15" customHeight="1">
      <c r="A192" s="59"/>
      <c r="B192" s="74" t="s">
        <v>542</v>
      </c>
      <c r="C192" s="14" t="s">
        <v>545</v>
      </c>
      <c r="D192" s="220"/>
      <c r="E192" s="14" t="s">
        <v>84</v>
      </c>
      <c r="F192" s="220" t="str">
        <f>IF(wskakunin_dairi1_JIMU__sikaku="", "", wskakunin_dairi1_JIMU__sikaku)</f>
        <v/>
      </c>
      <c r="G192" s="15"/>
      <c r="H192" s="15"/>
    </row>
    <row r="193" spans="1:8" ht="15" customHeight="1">
      <c r="A193" s="59"/>
      <c r="B193" s="74" t="s">
        <v>23</v>
      </c>
      <c r="C193" s="14" t="s">
        <v>546</v>
      </c>
      <c r="D193" s="220"/>
      <c r="E193" s="14" t="s">
        <v>1408</v>
      </c>
      <c r="F193" s="220" t="str">
        <f>IF(wskakunin_dairi1_JIMU_SIKAKU__label="","",wskakunin_dairi1_JIMU_SIKAKU__label)</f>
        <v/>
      </c>
      <c r="G193" s="15"/>
      <c r="H193" s="15"/>
    </row>
    <row r="194" spans="1:8" ht="15" customHeight="1">
      <c r="A194" s="59"/>
      <c r="B194" s="74" t="s">
        <v>543</v>
      </c>
      <c r="C194" s="14" t="s">
        <v>1365</v>
      </c>
      <c r="D194" s="220"/>
      <c r="E194" s="14" t="s">
        <v>576</v>
      </c>
      <c r="F194" s="220" t="str">
        <f>IF(wskakunin_dairi1_JIMU_TOUROKU_KIKAN__label="","",wskakunin_dairi1_JIMU_TOUROKU_KIKAN__label)</f>
        <v/>
      </c>
      <c r="G194" s="15"/>
      <c r="H194" s="15"/>
    </row>
    <row r="195" spans="1:8" ht="15" customHeight="1">
      <c r="A195" s="59"/>
      <c r="B195" s="74" t="s">
        <v>544</v>
      </c>
      <c r="C195" s="14" t="s">
        <v>547</v>
      </c>
      <c r="D195" s="222"/>
      <c r="E195" s="14" t="s">
        <v>577</v>
      </c>
      <c r="F195" s="220" t="str">
        <f>IF(wskakunin_dairi1_JIMU_NO="","",wskakunin_dairi1_JIMU_NO)</f>
        <v/>
      </c>
      <c r="G195" s="15"/>
      <c r="H195" s="15"/>
    </row>
    <row r="196" spans="1:8" ht="15" customHeight="1">
      <c r="A196" s="59"/>
      <c r="B196" s="74" t="s">
        <v>24</v>
      </c>
      <c r="C196" s="14" t="s">
        <v>64</v>
      </c>
      <c r="D196" s="220"/>
      <c r="E196" s="14" t="s">
        <v>93</v>
      </c>
      <c r="F196" s="220" t="str">
        <f>IF(wskakunin_dairi1_JIMU_NAME="", "",wskakunin_dairi1_JIMU_NAME)</f>
        <v/>
      </c>
      <c r="G196" s="15"/>
      <c r="H196" s="15"/>
    </row>
    <row r="197" spans="1:8" ht="15" customHeight="1">
      <c r="A197" s="59"/>
      <c r="B197" s="74" t="s">
        <v>20</v>
      </c>
      <c r="C197" s="14" t="s">
        <v>65</v>
      </c>
      <c r="D197" s="222"/>
      <c r="E197" s="14" t="s">
        <v>94</v>
      </c>
      <c r="F197" s="220" t="str">
        <f>IF(wskakunin_dairi1_ZIP="", "", wskakunin_dairi1_ZIP)</f>
        <v/>
      </c>
      <c r="G197" s="15"/>
      <c r="H197" s="15"/>
    </row>
    <row r="198" spans="1:8" ht="15" customHeight="1">
      <c r="A198" s="59"/>
      <c r="B198" s="74" t="s">
        <v>25</v>
      </c>
      <c r="C198" s="14" t="s">
        <v>66</v>
      </c>
      <c r="D198" s="220"/>
      <c r="E198" s="14" t="s">
        <v>95</v>
      </c>
      <c r="F198" s="220" t="str">
        <f>IF(wskakunin_dairi1__address="", "", wskakunin_dairi1__address)</f>
        <v/>
      </c>
      <c r="G198" s="15"/>
      <c r="H198" s="15"/>
    </row>
    <row r="199" spans="1:8" ht="15" customHeight="1">
      <c r="A199" s="59"/>
      <c r="B199" s="74" t="s">
        <v>22</v>
      </c>
      <c r="C199" s="14" t="s">
        <v>67</v>
      </c>
      <c r="D199" s="222"/>
      <c r="E199" s="14" t="s">
        <v>96</v>
      </c>
      <c r="F199" s="220" t="str">
        <f>IF(wskakunin_dairi1_TEL="", "", wskakunin_dairi1_TEL)</f>
        <v/>
      </c>
      <c r="G199" s="15"/>
      <c r="H199" s="15"/>
    </row>
    <row r="200" spans="1:8" ht="15" customHeight="1">
      <c r="A200" s="59"/>
      <c r="B200" s="74" t="s">
        <v>623</v>
      </c>
      <c r="C200" s="14" t="s">
        <v>624</v>
      </c>
      <c r="D200" s="222"/>
      <c r="E200" s="14" t="s">
        <v>625</v>
      </c>
      <c r="F200" s="220" t="str">
        <f>IF(wskakunin_dairi1_FAX="", "", wskakunin_dairi1_FAX)</f>
        <v/>
      </c>
      <c r="G200" s="15"/>
      <c r="H200" s="15"/>
    </row>
    <row r="201" spans="1:8" ht="15" customHeight="1">
      <c r="A201" s="59"/>
      <c r="B201" s="111" t="s">
        <v>88</v>
      </c>
      <c r="D201" s="15"/>
      <c r="E201" s="14" t="s">
        <v>105</v>
      </c>
      <c r="F201" s="220" t="str">
        <f>IF(wskakunin_dairi1_NAME&amp;wskakunin_dairi1_JIMU_NAME="","",IF(wskakunin_dairi1_JIMU_NAME="",wskakunin_dairi1_NAME,wskakunin_dairi1_JIMU_NAME&amp;"　"&amp;wskakunin_dairi1_NAME))</f>
        <v/>
      </c>
      <c r="G201" s="15"/>
      <c r="H201" s="15"/>
    </row>
    <row r="202" spans="1:8" ht="15" customHeight="1">
      <c r="A202" s="60"/>
      <c r="B202" s="112"/>
      <c r="D202" s="32"/>
      <c r="F202" s="15"/>
      <c r="G202" s="15"/>
      <c r="H202" s="15"/>
    </row>
    <row r="203" spans="1:8" ht="15" customHeight="1">
      <c r="A203" s="50" t="s">
        <v>1565</v>
      </c>
      <c r="B203" s="109"/>
      <c r="G203" s="15"/>
      <c r="H203" s="15"/>
    </row>
    <row r="204" spans="1:8" ht="15" customHeight="1">
      <c r="A204" s="110"/>
      <c r="B204" s="74" t="s">
        <v>540</v>
      </c>
      <c r="C204" s="14" t="s">
        <v>1569</v>
      </c>
      <c r="D204" s="220"/>
      <c r="E204" s="14" t="s">
        <v>1570</v>
      </c>
      <c r="F204" s="220" t="str">
        <f>IF(wskakunin_dairi2__sikaku="", "", wskakunin_dairi2__sikaku)</f>
        <v/>
      </c>
      <c r="H204" s="15"/>
    </row>
    <row r="205" spans="1:8" ht="15" customHeight="1">
      <c r="A205" s="110"/>
      <c r="B205" s="74" t="s">
        <v>541</v>
      </c>
      <c r="C205" s="14" t="s">
        <v>1571</v>
      </c>
      <c r="D205" s="220"/>
      <c r="E205" s="14" t="s">
        <v>1572</v>
      </c>
      <c r="F205" s="220" t="str">
        <f>IF(wskakunin_dairi2_SIKAKU__label="","",wskakunin_dairi2_SIKAKU__label)</f>
        <v/>
      </c>
      <c r="H205" s="15"/>
    </row>
    <row r="206" spans="1:8" ht="15" customHeight="1">
      <c r="A206" s="110"/>
      <c r="B206" s="74" t="s">
        <v>536</v>
      </c>
      <c r="C206" s="14" t="s">
        <v>1573</v>
      </c>
      <c r="D206" s="220"/>
      <c r="E206" s="14" t="s">
        <v>1574</v>
      </c>
      <c r="F206" s="220" t="str">
        <f>IF(wskakunin_dairi2_TOUROKU_KIKAN__label="","",wskakunin_dairi2_TOUROKU_KIKAN__label)</f>
        <v/>
      </c>
      <c r="H206" s="15"/>
    </row>
    <row r="207" spans="1:8" ht="15" customHeight="1">
      <c r="A207" s="110"/>
      <c r="B207" s="74" t="s">
        <v>537</v>
      </c>
      <c r="C207" s="14" t="s">
        <v>1575</v>
      </c>
      <c r="D207" s="222"/>
      <c r="E207" s="14" t="s">
        <v>1576</v>
      </c>
      <c r="F207" s="220" t="str">
        <f>IF(wskakunin_dairi2_KENTIKUSI_NO="","",wskakunin_dairi2_KENTIKUSI_NO)</f>
        <v/>
      </c>
      <c r="H207" s="15"/>
    </row>
    <row r="208" spans="1:8" ht="15" customHeight="1">
      <c r="A208" s="59"/>
      <c r="B208" s="74" t="s">
        <v>19</v>
      </c>
      <c r="C208" s="14" t="s">
        <v>1577</v>
      </c>
      <c r="D208" s="220"/>
      <c r="E208" s="14" t="s">
        <v>1578</v>
      </c>
      <c r="F208" s="220" t="str">
        <f>IF(wskakunin_dairi2_NAME="", "", wskakunin_dairi2_NAME)</f>
        <v/>
      </c>
      <c r="H208" s="15"/>
    </row>
    <row r="209" spans="1:8" ht="15" customHeight="1">
      <c r="A209" s="59"/>
      <c r="B209" s="74" t="s">
        <v>27</v>
      </c>
      <c r="C209" s="14" t="s">
        <v>1579</v>
      </c>
      <c r="D209" s="220"/>
      <c r="E209" s="14" t="s">
        <v>1580</v>
      </c>
      <c r="F209" s="220" t="str">
        <f>IF(wskakunin_dairi2_NAME_KANA="", "", wskakunin_dairi2_NAME_KANA)</f>
        <v/>
      </c>
      <c r="H209" s="15"/>
    </row>
    <row r="210" spans="1:8" ht="15" customHeight="1">
      <c r="A210" s="59"/>
      <c r="B210" s="74" t="s">
        <v>542</v>
      </c>
      <c r="C210" s="14" t="s">
        <v>1581</v>
      </c>
      <c r="D210" s="220"/>
      <c r="E210" s="14" t="s">
        <v>1582</v>
      </c>
      <c r="F210" s="220" t="str">
        <f>IF(wskakunin_dairi2_JIMU__sikaku="", "", wskakunin_dairi2_JIMU__sikaku)</f>
        <v/>
      </c>
      <c r="H210" s="15"/>
    </row>
    <row r="211" spans="1:8" ht="15" customHeight="1">
      <c r="A211" s="59"/>
      <c r="B211" s="74" t="s">
        <v>23</v>
      </c>
      <c r="C211" s="14" t="s">
        <v>1583</v>
      </c>
      <c r="D211" s="220"/>
      <c r="E211" s="14" t="s">
        <v>1584</v>
      </c>
      <c r="F211" s="220" t="str">
        <f>IF(wskakunin_dairi2_JIMU_SIKAKU__label="","",wskakunin_dairi2_JIMU_SIKAKU__label)</f>
        <v/>
      </c>
      <c r="H211" s="15"/>
    </row>
    <row r="212" spans="1:8" ht="15" customHeight="1">
      <c r="A212" s="59"/>
      <c r="B212" s="74" t="s">
        <v>543</v>
      </c>
      <c r="C212" s="14" t="s">
        <v>1585</v>
      </c>
      <c r="D212" s="220"/>
      <c r="E212" s="14" t="s">
        <v>1586</v>
      </c>
      <c r="F212" s="220" t="str">
        <f>IF(wskakunin_dairi2_JIMU_TOUROKU_KIKAN__label="","",wskakunin_dairi2_JIMU_TOUROKU_KIKAN__label)</f>
        <v/>
      </c>
      <c r="H212" s="15"/>
    </row>
    <row r="213" spans="1:8" ht="15" customHeight="1">
      <c r="A213" s="59"/>
      <c r="B213" s="74" t="s">
        <v>544</v>
      </c>
      <c r="C213" s="14" t="s">
        <v>1587</v>
      </c>
      <c r="D213" s="222"/>
      <c r="E213" s="14" t="s">
        <v>1588</v>
      </c>
      <c r="F213" s="220" t="str">
        <f>IF(wskakunin_dairi2_JIMU_NO="","",wskakunin_dairi2_JIMU_NO)</f>
        <v/>
      </c>
      <c r="H213" s="15"/>
    </row>
    <row r="214" spans="1:8" ht="15" customHeight="1">
      <c r="A214" s="59"/>
      <c r="B214" s="74" t="s">
        <v>24</v>
      </c>
      <c r="C214" s="14" t="s">
        <v>1589</v>
      </c>
      <c r="D214" s="220"/>
      <c r="E214" s="14" t="s">
        <v>1590</v>
      </c>
      <c r="F214" s="220" t="str">
        <f>IF(wskakunin_dairi2_JIMU_NAME="", "",wskakunin_dairi2_JIMU_NAME)</f>
        <v/>
      </c>
      <c r="H214" s="15"/>
    </row>
    <row r="215" spans="1:8" ht="15" customHeight="1">
      <c r="A215" s="59"/>
      <c r="B215" s="74" t="s">
        <v>20</v>
      </c>
      <c r="C215" s="14" t="s">
        <v>1591</v>
      </c>
      <c r="D215" s="222"/>
      <c r="E215" s="14" t="s">
        <v>1592</v>
      </c>
      <c r="F215" s="220" t="str">
        <f>IF(wskakunin_dairi2_ZIP="", "", wskakunin_dairi2_ZIP)</f>
        <v/>
      </c>
      <c r="H215" s="15"/>
    </row>
    <row r="216" spans="1:8" ht="15" customHeight="1">
      <c r="A216" s="59"/>
      <c r="B216" s="74" t="s">
        <v>25</v>
      </c>
      <c r="C216" s="14" t="s">
        <v>1593</v>
      </c>
      <c r="D216" s="220"/>
      <c r="E216" s="14" t="s">
        <v>1594</v>
      </c>
      <c r="F216" s="220" t="str">
        <f>IF(wskakunin_dairi2__address="", "", wskakunin_dairi2__address)</f>
        <v/>
      </c>
      <c r="H216" s="15"/>
    </row>
    <row r="217" spans="1:8" ht="15" customHeight="1">
      <c r="A217" s="59"/>
      <c r="B217" s="74" t="s">
        <v>22</v>
      </c>
      <c r="C217" s="14" t="s">
        <v>1595</v>
      </c>
      <c r="D217" s="222"/>
      <c r="E217" s="14" t="s">
        <v>1596</v>
      </c>
      <c r="F217" s="220" t="str">
        <f>IF(wskakunin_dairi2_TEL="", "", wskakunin_dairi2_TEL)</f>
        <v/>
      </c>
      <c r="H217" s="15"/>
    </row>
    <row r="218" spans="1:8" ht="15" customHeight="1">
      <c r="A218" s="59"/>
      <c r="B218" s="74" t="s">
        <v>623</v>
      </c>
      <c r="C218" s="14" t="s">
        <v>1597</v>
      </c>
      <c r="D218" s="222"/>
      <c r="E218" s="14" t="s">
        <v>1598</v>
      </c>
      <c r="F218" s="220" t="str">
        <f>IF(wskakunin_dairi2_FAX="", "", wskakunin_dairi2_FAX)</f>
        <v/>
      </c>
      <c r="H218" s="15"/>
    </row>
    <row r="219" spans="1:8" ht="15" customHeight="1">
      <c r="A219" s="59"/>
      <c r="B219" s="111" t="s">
        <v>88</v>
      </c>
      <c r="D219" s="15"/>
      <c r="E219" s="14" t="s">
        <v>1599</v>
      </c>
      <c r="F219" s="220" t="str">
        <f>IF(wskakunin_dairi2_NAME&amp;wskakunin_dairi2_JIMU_NAME="","",IF(wskakunin_dairi2_JIMU_NAME="",wskakunin_dairi2_NAME,wskakunin_dairi2_JIMU_NAME&amp;"　"&amp;wskakunin_dairi2_NAME))</f>
        <v/>
      </c>
      <c r="H219" s="15"/>
    </row>
    <row r="220" spans="1:8" ht="15" customHeight="1">
      <c r="A220" s="60"/>
      <c r="B220" s="112"/>
      <c r="D220" s="32"/>
      <c r="F220" s="15"/>
      <c r="H220" s="15"/>
    </row>
    <row r="221" spans="1:8" ht="15" customHeight="1">
      <c r="A221" s="50" t="s">
        <v>1566</v>
      </c>
      <c r="B221" s="109"/>
      <c r="H221" s="15"/>
    </row>
    <row r="222" spans="1:8" ht="15" customHeight="1">
      <c r="A222" s="110"/>
      <c r="B222" s="74" t="s">
        <v>540</v>
      </c>
      <c r="C222" s="14" t="s">
        <v>1600</v>
      </c>
      <c r="D222" s="220"/>
      <c r="E222" s="14" t="s">
        <v>1601</v>
      </c>
      <c r="F222" s="220" t="str">
        <f>IF(wskakunin_dairi3__sikaku="", "", wskakunin_dairi3__sikaku)</f>
        <v/>
      </c>
      <c r="H222" s="15"/>
    </row>
    <row r="223" spans="1:8" ht="15" customHeight="1">
      <c r="A223" s="110"/>
      <c r="B223" s="74" t="s">
        <v>541</v>
      </c>
      <c r="C223" s="14" t="s">
        <v>1602</v>
      </c>
      <c r="D223" s="220"/>
      <c r="E223" s="14" t="s">
        <v>1603</v>
      </c>
      <c r="F223" s="220" t="str">
        <f>IF(wskakunin_dairi3_SIKAKU__label="","",wskakunin_dairi3_SIKAKU__label)</f>
        <v/>
      </c>
      <c r="H223" s="15"/>
    </row>
    <row r="224" spans="1:8" ht="15" customHeight="1">
      <c r="A224" s="110"/>
      <c r="B224" s="74" t="s">
        <v>536</v>
      </c>
      <c r="C224" s="14" t="s">
        <v>1604</v>
      </c>
      <c r="D224" s="220"/>
      <c r="E224" s="14" t="s">
        <v>1605</v>
      </c>
      <c r="F224" s="220" t="str">
        <f>IF(wskakunin_dairi3_TOUROKU_KIKAN__label="","",wskakunin_dairi3_TOUROKU_KIKAN__label)</f>
        <v/>
      </c>
      <c r="H224" s="15"/>
    </row>
    <row r="225" spans="1:8" ht="15" customHeight="1">
      <c r="A225" s="110"/>
      <c r="B225" s="74" t="s">
        <v>537</v>
      </c>
      <c r="C225" s="14" t="s">
        <v>1606</v>
      </c>
      <c r="D225" s="222"/>
      <c r="E225" s="14" t="s">
        <v>1607</v>
      </c>
      <c r="F225" s="220" t="str">
        <f>IF(wskakunin_dairi3_KENTIKUSI_NO="","",wskakunin_dairi3_KENTIKUSI_NO)</f>
        <v/>
      </c>
      <c r="H225" s="15"/>
    </row>
    <row r="226" spans="1:8" ht="15" customHeight="1">
      <c r="A226" s="59"/>
      <c r="B226" s="74" t="s">
        <v>19</v>
      </c>
      <c r="C226" s="14" t="s">
        <v>1608</v>
      </c>
      <c r="D226" s="220"/>
      <c r="E226" s="14" t="s">
        <v>1609</v>
      </c>
      <c r="F226" s="220" t="str">
        <f>IF(wskakunin_dairi3_NAME="", "", wskakunin_dairi3_NAME)</f>
        <v/>
      </c>
      <c r="H226" s="15"/>
    </row>
    <row r="227" spans="1:8" ht="15" customHeight="1">
      <c r="A227" s="59"/>
      <c r="B227" s="74" t="s">
        <v>27</v>
      </c>
      <c r="C227" s="14" t="s">
        <v>1610</v>
      </c>
      <c r="D227" s="220"/>
      <c r="E227" s="14" t="s">
        <v>1611</v>
      </c>
      <c r="F227" s="220" t="str">
        <f>IF(wskakunin_dairi3_NAME_KANA="", "", wskakunin_dairi3_NAME_KANA)</f>
        <v/>
      </c>
      <c r="H227" s="15"/>
    </row>
    <row r="228" spans="1:8" ht="15" customHeight="1">
      <c r="A228" s="59"/>
      <c r="B228" s="74" t="s">
        <v>542</v>
      </c>
      <c r="C228" s="14" t="s">
        <v>1612</v>
      </c>
      <c r="D228" s="220"/>
      <c r="E228" s="14" t="s">
        <v>1613</v>
      </c>
      <c r="F228" s="220" t="str">
        <f>IF(wskakunin_dairi3_JIMU__sikaku="", "", wskakunin_dairi3_JIMU__sikaku)</f>
        <v/>
      </c>
      <c r="H228" s="15"/>
    </row>
    <row r="229" spans="1:8" ht="15" customHeight="1">
      <c r="A229" s="59"/>
      <c r="B229" s="74" t="s">
        <v>23</v>
      </c>
      <c r="C229" s="14" t="s">
        <v>1614</v>
      </c>
      <c r="D229" s="220"/>
      <c r="E229" s="14" t="s">
        <v>1615</v>
      </c>
      <c r="F229" s="220" t="str">
        <f>IF(wskakunin_dairi3_JIMU_SIKAKU__label="","",wskakunin_dairi3_JIMU_SIKAKU__label)</f>
        <v/>
      </c>
      <c r="H229" s="15"/>
    </row>
    <row r="230" spans="1:8" ht="15" customHeight="1">
      <c r="A230" s="59"/>
      <c r="B230" s="74" t="s">
        <v>543</v>
      </c>
      <c r="C230" s="14" t="s">
        <v>1616</v>
      </c>
      <c r="D230" s="220"/>
      <c r="E230" s="14" t="s">
        <v>1617</v>
      </c>
      <c r="F230" s="220" t="str">
        <f>IF(wskakunin_dairi3_JIMU_TOUROKU_KIKAN__label="","",wskakunin_dairi3_JIMU_TOUROKU_KIKAN__label)</f>
        <v/>
      </c>
      <c r="H230" s="15"/>
    </row>
    <row r="231" spans="1:8" ht="15" customHeight="1">
      <c r="A231" s="59"/>
      <c r="B231" s="74" t="s">
        <v>544</v>
      </c>
      <c r="C231" s="14" t="s">
        <v>1618</v>
      </c>
      <c r="D231" s="222"/>
      <c r="E231" s="14" t="s">
        <v>1619</v>
      </c>
      <c r="F231" s="220" t="str">
        <f>IF(wskakunin_dairi3_JIMU_NO="","",wskakunin_dairi3_JIMU_NO)</f>
        <v/>
      </c>
      <c r="H231" s="15"/>
    </row>
    <row r="232" spans="1:8" ht="15" customHeight="1">
      <c r="A232" s="59"/>
      <c r="B232" s="74" t="s">
        <v>24</v>
      </c>
      <c r="C232" s="14" t="s">
        <v>1620</v>
      </c>
      <c r="D232" s="220"/>
      <c r="E232" s="14" t="s">
        <v>1621</v>
      </c>
      <c r="F232" s="220" t="str">
        <f>IF(wskakunin_dairi3_JIMU_NAME="", "",wskakunin_dairi3_JIMU_NAME)</f>
        <v/>
      </c>
      <c r="H232" s="15"/>
    </row>
    <row r="233" spans="1:8" ht="15" customHeight="1">
      <c r="A233" s="59"/>
      <c r="B233" s="74" t="s">
        <v>20</v>
      </c>
      <c r="C233" s="14" t="s">
        <v>1622</v>
      </c>
      <c r="D233" s="222"/>
      <c r="E233" s="14" t="s">
        <v>1623</v>
      </c>
      <c r="F233" s="220" t="str">
        <f>IF(wskakunin_dairi3_ZIP="", "", wskakunin_dairi3_ZIP)</f>
        <v/>
      </c>
      <c r="H233" s="15"/>
    </row>
    <row r="234" spans="1:8" ht="15" customHeight="1">
      <c r="A234" s="59"/>
      <c r="B234" s="74" t="s">
        <v>25</v>
      </c>
      <c r="C234" s="14" t="s">
        <v>1624</v>
      </c>
      <c r="D234" s="220"/>
      <c r="E234" s="14" t="s">
        <v>1625</v>
      </c>
      <c r="F234" s="220" t="str">
        <f>IF(wskakunin_dairi3__address="", "", wskakunin_dairi3__address)</f>
        <v/>
      </c>
      <c r="H234" s="15"/>
    </row>
    <row r="235" spans="1:8" ht="15" customHeight="1">
      <c r="A235" s="59"/>
      <c r="B235" s="74" t="s">
        <v>22</v>
      </c>
      <c r="C235" s="14" t="s">
        <v>1626</v>
      </c>
      <c r="D235" s="222"/>
      <c r="E235" s="14" t="s">
        <v>1627</v>
      </c>
      <c r="F235" s="220" t="str">
        <f>IF(wskakunin_dairi3_TEL="", "", wskakunin_dairi3_TEL)</f>
        <v/>
      </c>
      <c r="H235" s="15"/>
    </row>
    <row r="236" spans="1:8" ht="15" customHeight="1">
      <c r="A236" s="59"/>
      <c r="B236" s="74" t="s">
        <v>623</v>
      </c>
      <c r="C236" s="14" t="s">
        <v>1628</v>
      </c>
      <c r="D236" s="222"/>
      <c r="E236" s="14" t="s">
        <v>1629</v>
      </c>
      <c r="F236" s="220" t="str">
        <f>IF(wskakunin_dairi3_FAX="", "", wskakunin_dairi3_FAX)</f>
        <v/>
      </c>
      <c r="H236" s="15"/>
    </row>
    <row r="237" spans="1:8" ht="15" customHeight="1">
      <c r="A237" s="59"/>
      <c r="B237" s="111" t="s">
        <v>88</v>
      </c>
      <c r="D237" s="15"/>
      <c r="E237" s="14" t="s">
        <v>1630</v>
      </c>
      <c r="F237" s="220" t="str">
        <f>IF(wskakunin_dairi3_NAME&amp;wskakunin_dairi3_JIMU_NAME="","",IF(wskakunin_dairi3_JIMU_NAME="",wskakunin_dairi3_NAME,wskakunin_dairi3_JIMU_NAME&amp;"　"&amp;wskakunin_dairi3_NAME))</f>
        <v/>
      </c>
      <c r="H237" s="15"/>
    </row>
    <row r="238" spans="1:8" ht="15" customHeight="1">
      <c r="A238" s="60"/>
      <c r="B238" s="112"/>
      <c r="D238" s="32"/>
      <c r="F238" s="15"/>
      <c r="H238" s="15"/>
    </row>
    <row r="239" spans="1:8" ht="15" customHeight="1">
      <c r="A239" s="50" t="s">
        <v>1567</v>
      </c>
      <c r="B239" s="109"/>
      <c r="H239" s="15"/>
    </row>
    <row r="240" spans="1:8" ht="15" customHeight="1">
      <c r="A240" s="110"/>
      <c r="B240" s="74" t="s">
        <v>540</v>
      </c>
      <c r="C240" s="14" t="s">
        <v>1631</v>
      </c>
      <c r="D240" s="220"/>
      <c r="E240" s="14" t="s">
        <v>1632</v>
      </c>
      <c r="F240" s="220" t="str">
        <f>IF(wskakunin_dairi4__sikaku="", "", wskakunin_dairi4__sikaku)</f>
        <v/>
      </c>
      <c r="H240" s="15"/>
    </row>
    <row r="241" spans="1:8" ht="15" customHeight="1">
      <c r="A241" s="110"/>
      <c r="B241" s="74" t="s">
        <v>541</v>
      </c>
      <c r="C241" s="14" t="s">
        <v>1633</v>
      </c>
      <c r="D241" s="220"/>
      <c r="E241" s="14" t="s">
        <v>1634</v>
      </c>
      <c r="F241" s="220" t="str">
        <f>IF(wskakunin_dairi4_SIKAKU__label="","",wskakunin_dairi4_SIKAKU__label)</f>
        <v/>
      </c>
      <c r="H241" s="15"/>
    </row>
    <row r="242" spans="1:8" ht="15" customHeight="1">
      <c r="A242" s="110"/>
      <c r="B242" s="74" t="s">
        <v>536</v>
      </c>
      <c r="C242" s="14" t="s">
        <v>1635</v>
      </c>
      <c r="D242" s="220"/>
      <c r="E242" s="14" t="s">
        <v>1636</v>
      </c>
      <c r="F242" s="220" t="str">
        <f>IF(wskakunin_dairi4_TOUROKU_KIKAN__label="","",wskakunin_dairi4_TOUROKU_KIKAN__label)</f>
        <v/>
      </c>
      <c r="H242" s="15"/>
    </row>
    <row r="243" spans="1:8" ht="15" customHeight="1">
      <c r="A243" s="110"/>
      <c r="B243" s="74" t="s">
        <v>537</v>
      </c>
      <c r="C243" s="14" t="s">
        <v>1637</v>
      </c>
      <c r="D243" s="222"/>
      <c r="E243" s="14" t="s">
        <v>1638</v>
      </c>
      <c r="F243" s="220" t="str">
        <f>IF(wskakunin_dairi4_KENTIKUSI_NO="","",wskakunin_dairi4_KENTIKUSI_NO)</f>
        <v/>
      </c>
      <c r="H243" s="15"/>
    </row>
    <row r="244" spans="1:8" ht="15" customHeight="1">
      <c r="A244" s="59"/>
      <c r="B244" s="74" t="s">
        <v>19</v>
      </c>
      <c r="C244" s="14" t="s">
        <v>1639</v>
      </c>
      <c r="D244" s="220"/>
      <c r="E244" s="14" t="s">
        <v>1640</v>
      </c>
      <c r="F244" s="220" t="str">
        <f>IF(wskakunin_dairi4_NAME="", "", wskakunin_dairi4_NAME)</f>
        <v/>
      </c>
      <c r="H244" s="15"/>
    </row>
    <row r="245" spans="1:8" ht="15" customHeight="1">
      <c r="A245" s="59"/>
      <c r="B245" s="74" t="s">
        <v>27</v>
      </c>
      <c r="C245" s="14" t="s">
        <v>1641</v>
      </c>
      <c r="D245" s="220"/>
      <c r="E245" s="14" t="s">
        <v>1642</v>
      </c>
      <c r="F245" s="220" t="str">
        <f>IF(wskakunin_dairi4_NAME_KANA="", "", wskakunin_dairi4_NAME_KANA)</f>
        <v/>
      </c>
      <c r="H245" s="15"/>
    </row>
    <row r="246" spans="1:8" ht="15" customHeight="1">
      <c r="A246" s="59"/>
      <c r="B246" s="74" t="s">
        <v>542</v>
      </c>
      <c r="C246" s="14" t="s">
        <v>1643</v>
      </c>
      <c r="D246" s="220"/>
      <c r="E246" s="14" t="s">
        <v>1644</v>
      </c>
      <c r="F246" s="220" t="str">
        <f>IF(wskakunin_dairi4_JIMU__sikaku="", "", wskakunin_dairi4_JIMU__sikaku)</f>
        <v/>
      </c>
      <c r="H246" s="15"/>
    </row>
    <row r="247" spans="1:8" ht="15" customHeight="1">
      <c r="A247" s="59"/>
      <c r="B247" s="74" t="s">
        <v>23</v>
      </c>
      <c r="C247" s="14" t="s">
        <v>1645</v>
      </c>
      <c r="D247" s="220"/>
      <c r="E247" s="14" t="s">
        <v>1646</v>
      </c>
      <c r="F247" s="220" t="str">
        <f>IF(wskakunin_dairi4_JIMU_SIKAKU__label="","",wskakunin_dairi4_JIMU_SIKAKU__label)</f>
        <v/>
      </c>
      <c r="H247" s="15"/>
    </row>
    <row r="248" spans="1:8" ht="15" customHeight="1">
      <c r="A248" s="59"/>
      <c r="B248" s="74" t="s">
        <v>543</v>
      </c>
      <c r="C248" s="14" t="s">
        <v>1647</v>
      </c>
      <c r="D248" s="220"/>
      <c r="E248" s="14" t="s">
        <v>1648</v>
      </c>
      <c r="F248" s="220" t="str">
        <f>IF(wskakunin_dairi4_JIMU_TOUROKU_KIKAN__label="","",wskakunin_dairi4_JIMU_TOUROKU_KIKAN__label)</f>
        <v/>
      </c>
      <c r="H248" s="15"/>
    </row>
    <row r="249" spans="1:8" ht="15" customHeight="1">
      <c r="A249" s="59"/>
      <c r="B249" s="74" t="s">
        <v>544</v>
      </c>
      <c r="C249" s="14" t="s">
        <v>1649</v>
      </c>
      <c r="D249" s="222"/>
      <c r="E249" s="14" t="s">
        <v>1650</v>
      </c>
      <c r="F249" s="220" t="str">
        <f>IF(wskakunin_dairi4_JIMU_NO="","",wskakunin_dairi4_JIMU_NO)</f>
        <v/>
      </c>
      <c r="H249" s="15"/>
    </row>
    <row r="250" spans="1:8" ht="15" customHeight="1">
      <c r="A250" s="59"/>
      <c r="B250" s="74" t="s">
        <v>24</v>
      </c>
      <c r="C250" s="14" t="s">
        <v>1651</v>
      </c>
      <c r="D250" s="220"/>
      <c r="E250" s="14" t="s">
        <v>1652</v>
      </c>
      <c r="F250" s="220" t="str">
        <f>IF(wskakunin_dairi4_JIMU_NAME="", "",wskakunin_dairi4_JIMU_NAME)</f>
        <v/>
      </c>
      <c r="H250" s="15"/>
    </row>
    <row r="251" spans="1:8" ht="15" customHeight="1">
      <c r="A251" s="59"/>
      <c r="B251" s="74" t="s">
        <v>20</v>
      </c>
      <c r="C251" s="14" t="s">
        <v>1653</v>
      </c>
      <c r="D251" s="222"/>
      <c r="E251" s="14" t="s">
        <v>1654</v>
      </c>
      <c r="F251" s="220" t="str">
        <f>IF(wskakunin_dairi4_ZIP="", "", wskakunin_dairi4_ZIP)</f>
        <v/>
      </c>
      <c r="H251" s="15"/>
    </row>
    <row r="252" spans="1:8" ht="15" customHeight="1">
      <c r="A252" s="59"/>
      <c r="B252" s="74" t="s">
        <v>25</v>
      </c>
      <c r="C252" s="14" t="s">
        <v>1655</v>
      </c>
      <c r="D252" s="220"/>
      <c r="E252" s="14" t="s">
        <v>1656</v>
      </c>
      <c r="F252" s="220" t="str">
        <f>IF(wskakunin_dairi4__address="", "", wskakunin_dairi4__address)</f>
        <v/>
      </c>
      <c r="H252" s="15"/>
    </row>
    <row r="253" spans="1:8" ht="15" customHeight="1">
      <c r="A253" s="59"/>
      <c r="B253" s="74" t="s">
        <v>22</v>
      </c>
      <c r="C253" s="14" t="s">
        <v>1657</v>
      </c>
      <c r="D253" s="222"/>
      <c r="E253" s="14" t="s">
        <v>1658</v>
      </c>
      <c r="F253" s="220" t="str">
        <f>IF(wskakunin_dairi4_TEL="", "", wskakunin_dairi4_TEL)</f>
        <v/>
      </c>
      <c r="H253" s="15"/>
    </row>
    <row r="254" spans="1:8" ht="15" customHeight="1">
      <c r="A254" s="59"/>
      <c r="B254" s="74" t="s">
        <v>623</v>
      </c>
      <c r="C254" s="14" t="s">
        <v>1659</v>
      </c>
      <c r="D254" s="222"/>
      <c r="E254" s="14" t="s">
        <v>1660</v>
      </c>
      <c r="F254" s="220" t="str">
        <f>IF(wskakunin_dairi4_FAX="", "", wskakunin_dairi4_FAX)</f>
        <v/>
      </c>
      <c r="H254" s="15"/>
    </row>
    <row r="255" spans="1:8" ht="15" customHeight="1">
      <c r="A255" s="59"/>
      <c r="B255" s="111" t="s">
        <v>88</v>
      </c>
      <c r="D255" s="15"/>
      <c r="E255" s="14" t="s">
        <v>1661</v>
      </c>
      <c r="F255" s="220" t="str">
        <f>IF(wskakunin_dairi4_NAME&amp;wskakunin_dairi4_JIMU_NAME="","",IF(wskakunin_dairi4_JIMU_NAME="",wskakunin_dairi4_NAME,wskakunin_dairi4_JIMU_NAME&amp;"　"&amp;wskakunin_dairi4_NAME))</f>
        <v/>
      </c>
      <c r="H255" s="15"/>
    </row>
    <row r="256" spans="1:8" ht="15" customHeight="1">
      <c r="A256" s="60"/>
      <c r="B256" s="112"/>
      <c r="D256" s="32"/>
      <c r="F256" s="15"/>
      <c r="H256" s="15"/>
    </row>
    <row r="257" spans="1:8" ht="15" customHeight="1">
      <c r="A257" s="50" t="s">
        <v>1568</v>
      </c>
      <c r="B257" s="109"/>
      <c r="H257" s="15"/>
    </row>
    <row r="258" spans="1:8" ht="15" customHeight="1">
      <c r="A258" s="110"/>
      <c r="B258" s="74" t="s">
        <v>540</v>
      </c>
      <c r="C258" s="14" t="s">
        <v>1662</v>
      </c>
      <c r="D258" s="220"/>
      <c r="E258" s="14" t="s">
        <v>1663</v>
      </c>
      <c r="F258" s="220" t="str">
        <f>IF(wskakunin_dairi5__sikaku="", "", wskakunin_dairi5__sikaku)</f>
        <v/>
      </c>
      <c r="H258" s="15"/>
    </row>
    <row r="259" spans="1:8" ht="15" customHeight="1">
      <c r="A259" s="110"/>
      <c r="B259" s="74" t="s">
        <v>541</v>
      </c>
      <c r="C259" s="14" t="s">
        <v>1664</v>
      </c>
      <c r="D259" s="220"/>
      <c r="E259" s="14" t="s">
        <v>1665</v>
      </c>
      <c r="F259" s="220" t="str">
        <f>IF(wskakunin_dairi5_SIKAKU__label="","",wskakunin_dairi5_SIKAKU__label)</f>
        <v/>
      </c>
      <c r="H259" s="15"/>
    </row>
    <row r="260" spans="1:8" ht="15" customHeight="1">
      <c r="A260" s="110"/>
      <c r="B260" s="74" t="s">
        <v>536</v>
      </c>
      <c r="C260" s="14" t="s">
        <v>1666</v>
      </c>
      <c r="D260" s="220"/>
      <c r="E260" s="14" t="s">
        <v>1667</v>
      </c>
      <c r="F260" s="220" t="str">
        <f>IF(wskakunin_dairi5_TOUROKU_KIKAN__label="","",wskakunin_dairi5_TOUROKU_KIKAN__label)</f>
        <v/>
      </c>
      <c r="H260" s="15"/>
    </row>
    <row r="261" spans="1:8" ht="15" customHeight="1">
      <c r="A261" s="110"/>
      <c r="B261" s="74" t="s">
        <v>537</v>
      </c>
      <c r="C261" s="14" t="s">
        <v>1668</v>
      </c>
      <c r="D261" s="222"/>
      <c r="E261" s="14" t="s">
        <v>1669</v>
      </c>
      <c r="F261" s="220" t="str">
        <f>IF(wskakunin_dairi5_KENTIKUSI_NO="","",wskakunin_dairi5_KENTIKUSI_NO)</f>
        <v/>
      </c>
      <c r="H261" s="15"/>
    </row>
    <row r="262" spans="1:8" ht="15" customHeight="1">
      <c r="A262" s="59"/>
      <c r="B262" s="74" t="s">
        <v>19</v>
      </c>
      <c r="C262" s="14" t="s">
        <v>1670</v>
      </c>
      <c r="D262" s="220"/>
      <c r="E262" s="14" t="s">
        <v>1671</v>
      </c>
      <c r="F262" s="220" t="str">
        <f>IF(wskakunin_dairi5_NAME="", "", wskakunin_dairi5_NAME)</f>
        <v/>
      </c>
      <c r="H262" s="15"/>
    </row>
    <row r="263" spans="1:8" ht="15" customHeight="1">
      <c r="A263" s="59"/>
      <c r="B263" s="74" t="s">
        <v>27</v>
      </c>
      <c r="C263" s="14" t="s">
        <v>1672</v>
      </c>
      <c r="D263" s="220"/>
      <c r="E263" s="14" t="s">
        <v>1673</v>
      </c>
      <c r="F263" s="220" t="str">
        <f>IF(wskakunin_dairi5_NAME_KANA="", "", wskakunin_dairi5_NAME_KANA)</f>
        <v/>
      </c>
      <c r="H263" s="15"/>
    </row>
    <row r="264" spans="1:8" ht="15" customHeight="1">
      <c r="A264" s="59"/>
      <c r="B264" s="74" t="s">
        <v>542</v>
      </c>
      <c r="C264" s="14" t="s">
        <v>1674</v>
      </c>
      <c r="D264" s="220"/>
      <c r="E264" s="14" t="s">
        <v>1675</v>
      </c>
      <c r="F264" s="220" t="str">
        <f>IF(wskakunin_dairi5_JIMU__sikaku="", "", wskakunin_dairi5_JIMU__sikaku)</f>
        <v/>
      </c>
      <c r="H264" s="15"/>
    </row>
    <row r="265" spans="1:8" ht="15" customHeight="1">
      <c r="A265" s="59"/>
      <c r="B265" s="74" t="s">
        <v>23</v>
      </c>
      <c r="C265" s="14" t="s">
        <v>1676</v>
      </c>
      <c r="D265" s="220"/>
      <c r="E265" s="14" t="s">
        <v>1677</v>
      </c>
      <c r="F265" s="220" t="str">
        <f>IF(wskakunin_dairi5_JIMU_SIKAKU__label="","",wskakunin_dairi5_JIMU_SIKAKU__label)</f>
        <v/>
      </c>
      <c r="H265" s="15"/>
    </row>
    <row r="266" spans="1:8" ht="15" customHeight="1">
      <c r="A266" s="59"/>
      <c r="B266" s="74" t="s">
        <v>543</v>
      </c>
      <c r="C266" s="14" t="s">
        <v>1678</v>
      </c>
      <c r="D266" s="220"/>
      <c r="E266" s="14" t="s">
        <v>1679</v>
      </c>
      <c r="F266" s="220" t="str">
        <f>IF(wskakunin_dairi5_JIMU_TOUROKU_KIKAN__label="","",wskakunin_dairi5_JIMU_TOUROKU_KIKAN__label)</f>
        <v/>
      </c>
      <c r="H266" s="15"/>
    </row>
    <row r="267" spans="1:8" ht="15" customHeight="1">
      <c r="A267" s="59"/>
      <c r="B267" s="74" t="s">
        <v>544</v>
      </c>
      <c r="C267" s="14" t="s">
        <v>1680</v>
      </c>
      <c r="D267" s="222"/>
      <c r="E267" s="14" t="s">
        <v>1681</v>
      </c>
      <c r="F267" s="220" t="str">
        <f>IF(wskakunin_dairi5_JIMU_NO="","",wskakunin_dairi5_JIMU_NO)</f>
        <v/>
      </c>
      <c r="H267" s="15"/>
    </row>
    <row r="268" spans="1:8" ht="15" customHeight="1">
      <c r="A268" s="59"/>
      <c r="B268" s="74" t="s">
        <v>24</v>
      </c>
      <c r="C268" s="14" t="s">
        <v>1682</v>
      </c>
      <c r="D268" s="220"/>
      <c r="E268" s="14" t="s">
        <v>1683</v>
      </c>
      <c r="F268" s="220" t="str">
        <f>IF(wskakunin_dairi5_JIMU_NAME="", "",wskakunin_dairi5_JIMU_NAME)</f>
        <v/>
      </c>
      <c r="H268" s="15"/>
    </row>
    <row r="269" spans="1:8" ht="15" customHeight="1">
      <c r="A269" s="59"/>
      <c r="B269" s="74" t="s">
        <v>20</v>
      </c>
      <c r="C269" s="14" t="s">
        <v>1684</v>
      </c>
      <c r="D269" s="222"/>
      <c r="E269" s="14" t="s">
        <v>1685</v>
      </c>
      <c r="F269" s="220" t="str">
        <f>IF(wskakunin_dairi5_ZIP="", "", wskakunin_dairi5_ZIP)</f>
        <v/>
      </c>
      <c r="H269" s="15"/>
    </row>
    <row r="270" spans="1:8" ht="15" customHeight="1">
      <c r="A270" s="59"/>
      <c r="B270" s="74" t="s">
        <v>25</v>
      </c>
      <c r="C270" s="14" t="s">
        <v>1686</v>
      </c>
      <c r="D270" s="220"/>
      <c r="E270" s="14" t="s">
        <v>1687</v>
      </c>
      <c r="F270" s="220" t="str">
        <f>IF(wskakunin_dairi5__address="", "", wskakunin_dairi5__address)</f>
        <v/>
      </c>
      <c r="H270" s="15"/>
    </row>
    <row r="271" spans="1:8" ht="15" customHeight="1">
      <c r="A271" s="59"/>
      <c r="B271" s="74" t="s">
        <v>22</v>
      </c>
      <c r="C271" s="14" t="s">
        <v>1688</v>
      </c>
      <c r="D271" s="222"/>
      <c r="E271" s="14" t="s">
        <v>1689</v>
      </c>
      <c r="F271" s="220" t="str">
        <f>IF(wskakunin_dairi5_TEL="", "", wskakunin_dairi5_TEL)</f>
        <v/>
      </c>
      <c r="H271" s="15"/>
    </row>
    <row r="272" spans="1:8" ht="15" customHeight="1">
      <c r="A272" s="59"/>
      <c r="B272" s="74" t="s">
        <v>623</v>
      </c>
      <c r="C272" s="14" t="s">
        <v>1690</v>
      </c>
      <c r="D272" s="222"/>
      <c r="E272" s="14" t="s">
        <v>1691</v>
      </c>
      <c r="F272" s="220" t="str">
        <f>IF(wskakunin_dairi5_FAX="", "", wskakunin_dairi5_FAX)</f>
        <v/>
      </c>
      <c r="H272" s="15"/>
    </row>
    <row r="273" spans="1:8" ht="15" customHeight="1">
      <c r="A273" s="59"/>
      <c r="B273" s="111" t="s">
        <v>88</v>
      </c>
      <c r="C273" s="15"/>
      <c r="D273" s="15"/>
      <c r="E273" s="14" t="s">
        <v>1692</v>
      </c>
      <c r="F273" s="220" t="str">
        <f>IF(wskakunin_dairi5_NAME&amp;wskakunin_dairi5_JIMU_NAME="","",IF(wskakunin_dairi5_JIMU_NAME="",wskakunin_dairi5_NAME,wskakunin_dairi5_JIMU_NAME&amp;"　"&amp;wskakunin_dairi5_NAME))</f>
        <v/>
      </c>
      <c r="H273" s="15"/>
    </row>
    <row r="274" spans="1:8" ht="15" customHeight="1">
      <c r="A274" s="60"/>
      <c r="B274" s="112"/>
      <c r="D274" s="32"/>
      <c r="F274" s="15"/>
      <c r="G274" s="15"/>
      <c r="H274" s="15"/>
    </row>
    <row r="275" spans="1:8" ht="15" customHeight="1">
      <c r="A275" s="1" t="s">
        <v>591</v>
      </c>
      <c r="B275" s="47"/>
      <c r="G275" s="15"/>
      <c r="H275" s="15"/>
    </row>
    <row r="276" spans="1:8" ht="15" customHeight="1">
      <c r="A276" s="25"/>
      <c r="B276" s="75" t="s">
        <v>540</v>
      </c>
      <c r="C276" s="14" t="s">
        <v>68</v>
      </c>
      <c r="D276" s="143"/>
      <c r="E276" s="14" t="s">
        <v>585</v>
      </c>
      <c r="F276" s="143" t="str">
        <f>IF(wskakunin_sekkei1__sikaku="", "", wskakunin_sekkei1__sikaku)</f>
        <v/>
      </c>
      <c r="G276" s="15"/>
      <c r="H276" s="15"/>
    </row>
    <row r="277" spans="1:8" ht="15" customHeight="1">
      <c r="A277" s="30"/>
      <c r="B277" s="75" t="s">
        <v>541</v>
      </c>
      <c r="C277" s="14" t="s">
        <v>583</v>
      </c>
      <c r="D277" s="143"/>
      <c r="E277" s="14" t="s">
        <v>586</v>
      </c>
      <c r="F277" s="143" t="str">
        <f>IF(wskakunin_sekkei1_SIKAKU__label="","",wskakunin_sekkei1_SIKAKU__label)</f>
        <v/>
      </c>
      <c r="G277" s="15"/>
      <c r="H277" s="15"/>
    </row>
    <row r="278" spans="1:8" ht="15" customHeight="1">
      <c r="A278" s="30"/>
      <c r="B278" s="75" t="s">
        <v>536</v>
      </c>
      <c r="C278" s="14" t="s">
        <v>1321</v>
      </c>
      <c r="D278" s="143"/>
      <c r="E278" s="14" t="s">
        <v>587</v>
      </c>
      <c r="F278" s="143" t="str">
        <f>IF(wskakunin_sekkei1_TOUROKU_KIKAN__label="","",wskakunin_sekkei1_TOUROKU_KIKAN__label)</f>
        <v/>
      </c>
      <c r="G278" s="15"/>
      <c r="H278" s="15"/>
    </row>
    <row r="279" spans="1:8" ht="15" customHeight="1">
      <c r="A279" s="30"/>
      <c r="B279" s="75" t="s">
        <v>537</v>
      </c>
      <c r="C279" s="14" t="s">
        <v>584</v>
      </c>
      <c r="D279" s="214"/>
      <c r="E279" s="14" t="s">
        <v>588</v>
      </c>
      <c r="F279" s="143" t="str">
        <f>IF(wskakunin_sekkei1_KENTIKUSI_NO="","",wskakunin_sekkei1_KENTIKUSI_NO)</f>
        <v/>
      </c>
      <c r="G279" s="15"/>
      <c r="H279" s="15"/>
    </row>
    <row r="280" spans="1:8" ht="15" customHeight="1">
      <c r="A280" s="42"/>
      <c r="B280" s="75" t="s">
        <v>19</v>
      </c>
      <c r="C280" s="14" t="s">
        <v>69</v>
      </c>
      <c r="D280" s="143"/>
      <c r="E280" s="14" t="s">
        <v>97</v>
      </c>
      <c r="F280" s="143" t="str">
        <f>IF(wskakunin_sekkei1_NAME="", "", wskakunin_sekkei1_NAME)</f>
        <v/>
      </c>
      <c r="G280" s="15"/>
      <c r="H280" s="15"/>
    </row>
    <row r="281" spans="1:8" ht="15" customHeight="1">
      <c r="A281" s="42"/>
      <c r="B281" s="75" t="s">
        <v>542</v>
      </c>
      <c r="C281" s="14" t="s">
        <v>578</v>
      </c>
      <c r="D281" s="143"/>
      <c r="E281" s="14" t="s">
        <v>98</v>
      </c>
      <c r="F281" s="143" t="str">
        <f>IF(wskakunin_sekkei1_JIMU__sikaku="", "", wskakunin_sekkei1_JIMU__sikaku)</f>
        <v/>
      </c>
      <c r="G281" s="15"/>
      <c r="H281" s="15"/>
    </row>
    <row r="282" spans="1:8" ht="15" customHeight="1">
      <c r="A282" s="42"/>
      <c r="B282" s="75" t="s">
        <v>23</v>
      </c>
      <c r="C282" s="14" t="s">
        <v>579</v>
      </c>
      <c r="D282" s="143"/>
      <c r="E282" s="14" t="s">
        <v>1409</v>
      </c>
      <c r="F282" s="143" t="str">
        <f>IF(wskakunin_sekkei1_JIMU_SIKAKU__label="","",wskakunin_sekkei1_JIMU_SIKAKU__label)</f>
        <v/>
      </c>
      <c r="G282" s="15"/>
      <c r="H282" s="15"/>
    </row>
    <row r="283" spans="1:8" ht="15" customHeight="1">
      <c r="A283" s="42"/>
      <c r="B283" s="75" t="s">
        <v>543</v>
      </c>
      <c r="C283" s="14" t="s">
        <v>1322</v>
      </c>
      <c r="D283" s="143"/>
      <c r="E283" s="14" t="s">
        <v>581</v>
      </c>
      <c r="F283" s="143" t="str">
        <f>IF(wskakunin_sekkei1_JIMU_TOUROKU_KIKAN__label="","",wskakunin_sekkei1_JIMU_TOUROKU_KIKAN__label)</f>
        <v/>
      </c>
      <c r="G283" s="15"/>
      <c r="H283" s="15"/>
    </row>
    <row r="284" spans="1:8" ht="15" customHeight="1">
      <c r="A284" s="42"/>
      <c r="B284" s="75" t="s">
        <v>544</v>
      </c>
      <c r="C284" s="14" t="s">
        <v>580</v>
      </c>
      <c r="D284" s="214"/>
      <c r="E284" s="14" t="s">
        <v>582</v>
      </c>
      <c r="F284" s="143" t="str">
        <f>IF(wskakunin_sekkei1_JIMU_NO="","",wskakunin_sekkei1_JIMU_NO)</f>
        <v/>
      </c>
      <c r="G284" s="15"/>
      <c r="H284" s="15"/>
    </row>
    <row r="285" spans="1:8" ht="15" customHeight="1">
      <c r="A285" s="58"/>
      <c r="B285" s="75" t="s">
        <v>24</v>
      </c>
      <c r="C285" s="14" t="s">
        <v>70</v>
      </c>
      <c r="D285" s="143"/>
      <c r="E285" s="14" t="s">
        <v>99</v>
      </c>
      <c r="F285" s="143" t="str">
        <f>IF(wskakunin_sekkei1_JIMU_NAME="", "", wskakunin_sekkei1_JIMU_NAME)</f>
        <v/>
      </c>
      <c r="G285" s="15"/>
      <c r="H285" s="15"/>
    </row>
    <row r="286" spans="1:8" ht="15" customHeight="1">
      <c r="A286" s="42"/>
      <c r="B286" s="75" t="s">
        <v>571</v>
      </c>
      <c r="D286" s="32"/>
      <c r="E286" s="14" t="s">
        <v>572</v>
      </c>
      <c r="F286" s="143" t="str">
        <f>wskakunin_sekkei1_JIMU_NAME&amp;" "&amp;wskakunin_sekkei1_NAME</f>
        <v xml:space="preserve"> </v>
      </c>
      <c r="G286" s="15"/>
      <c r="H286" s="15"/>
    </row>
    <row r="287" spans="1:8" ht="15" customHeight="1">
      <c r="A287" s="58"/>
      <c r="B287" s="75" t="s">
        <v>20</v>
      </c>
      <c r="C287" s="14" t="s">
        <v>71</v>
      </c>
      <c r="D287" s="214"/>
      <c r="E287" s="14" t="s">
        <v>100</v>
      </c>
      <c r="F287" s="143" t="str">
        <f>IF(wskakunin_sekkei1_ZIP="", "", wskakunin_sekkei1_ZIP)</f>
        <v/>
      </c>
      <c r="G287" s="15"/>
      <c r="H287" s="15" t="s">
        <v>589</v>
      </c>
    </row>
    <row r="288" spans="1:8" ht="15" customHeight="1">
      <c r="A288" s="58"/>
      <c r="B288" s="75" t="s">
        <v>25</v>
      </c>
      <c r="C288" s="14" t="s">
        <v>664</v>
      </c>
      <c r="D288" s="143"/>
      <c r="E288" s="14" t="s">
        <v>665</v>
      </c>
      <c r="F288" s="143" t="str">
        <f>IF(wskakunin_sekkei1__address="", "", wskakunin_sekkei1__address)</f>
        <v/>
      </c>
      <c r="G288" s="15"/>
      <c r="H288" s="15"/>
    </row>
    <row r="289" spans="1:8" ht="15" customHeight="1">
      <c r="A289" s="58"/>
      <c r="B289" s="75" t="s">
        <v>22</v>
      </c>
      <c r="C289" s="14" t="s">
        <v>666</v>
      </c>
      <c r="D289" s="214"/>
      <c r="E289" s="14" t="s">
        <v>667</v>
      </c>
      <c r="F289" s="143" t="str">
        <f>IF(wskakunin_sekkei1_TEL="", "", wskakunin_sekkei1_TEL)</f>
        <v/>
      </c>
      <c r="G289" s="15"/>
      <c r="H289" s="15"/>
    </row>
    <row r="290" spans="1:8" ht="15" customHeight="1">
      <c r="A290" s="58"/>
      <c r="B290" s="75" t="s">
        <v>590</v>
      </c>
      <c r="C290" s="14" t="s">
        <v>668</v>
      </c>
      <c r="D290" s="214"/>
      <c r="E290" s="14" t="s">
        <v>669</v>
      </c>
      <c r="F290" s="143" t="str">
        <f>IF(wskakunin_sekkei1_DOC="","",wskakunin_sekkei1_DOC)</f>
        <v/>
      </c>
      <c r="G290" s="15"/>
      <c r="H290" s="15"/>
    </row>
    <row r="291" spans="1:8" ht="15" customHeight="1">
      <c r="A291" s="58"/>
      <c r="B291" s="83"/>
      <c r="G291" s="15"/>
      <c r="H291" s="15"/>
    </row>
    <row r="292" spans="1:8" ht="15" customHeight="1">
      <c r="A292" s="1" t="s">
        <v>592</v>
      </c>
      <c r="B292" s="47"/>
      <c r="G292" s="15"/>
      <c r="H292" s="15"/>
    </row>
    <row r="293" spans="1:8" ht="15" customHeight="1">
      <c r="A293" s="25"/>
      <c r="B293" s="75" t="s">
        <v>540</v>
      </c>
      <c r="C293" s="14" t="s">
        <v>670</v>
      </c>
      <c r="D293" s="143"/>
      <c r="E293" s="14" t="s">
        <v>671</v>
      </c>
      <c r="F293" s="143" t="str">
        <f>IF(wskakunin_sekkei2__sikaku="", "", wskakunin_sekkei2__sikaku)</f>
        <v/>
      </c>
      <c r="G293" s="15"/>
      <c r="H293" s="15"/>
    </row>
    <row r="294" spans="1:8" ht="15" customHeight="1">
      <c r="A294" s="30"/>
      <c r="B294" s="75" t="s">
        <v>541</v>
      </c>
      <c r="C294" s="14" t="s">
        <v>672</v>
      </c>
      <c r="D294" s="143"/>
      <c r="E294" s="14" t="s">
        <v>673</v>
      </c>
      <c r="F294" s="143" t="str">
        <f>IF(wskakunin_sekkei2_SIKAKU__label="","",wskakunin_sekkei2_SIKAKU__label)</f>
        <v/>
      </c>
      <c r="G294" s="15"/>
      <c r="H294" s="15"/>
    </row>
    <row r="295" spans="1:8" ht="15" customHeight="1">
      <c r="A295" s="30"/>
      <c r="B295" s="75" t="s">
        <v>536</v>
      </c>
      <c r="C295" s="14" t="s">
        <v>1323</v>
      </c>
      <c r="D295" s="143"/>
      <c r="E295" s="14" t="s">
        <v>674</v>
      </c>
      <c r="F295" s="143" t="str">
        <f>IF(wskakunin_sekkei2_TOUROKU_KIKAN__label="","",wskakunin_sekkei2_TOUROKU_KIKAN__label)</f>
        <v/>
      </c>
      <c r="G295" s="15"/>
      <c r="H295" s="15"/>
    </row>
    <row r="296" spans="1:8" ht="15" customHeight="1">
      <c r="A296" s="30"/>
      <c r="B296" s="75" t="s">
        <v>537</v>
      </c>
      <c r="C296" s="14" t="s">
        <v>675</v>
      </c>
      <c r="D296" s="214"/>
      <c r="E296" s="14" t="s">
        <v>676</v>
      </c>
      <c r="F296" s="143" t="str">
        <f>IF(wskakunin_sekkei2_KENTIKUSI_NO="","",wskakunin_sekkei2_KENTIKUSI_NO)</f>
        <v/>
      </c>
      <c r="G296" s="15"/>
      <c r="H296" s="15"/>
    </row>
    <row r="297" spans="1:8" ht="15" customHeight="1">
      <c r="A297" s="42"/>
      <c r="B297" s="75" t="s">
        <v>19</v>
      </c>
      <c r="C297" s="14" t="s">
        <v>677</v>
      </c>
      <c r="D297" s="143"/>
      <c r="E297" s="14" t="s">
        <v>678</v>
      </c>
      <c r="F297" s="143" t="str">
        <f>IF(wskakunin_sekkei2_NAME="", "", wskakunin_sekkei2_NAME)</f>
        <v/>
      </c>
      <c r="G297" s="15"/>
      <c r="H297" s="15"/>
    </row>
    <row r="298" spans="1:8" ht="15" customHeight="1">
      <c r="A298" s="42"/>
      <c r="B298" s="75" t="s">
        <v>542</v>
      </c>
      <c r="C298" s="14" t="s">
        <v>679</v>
      </c>
      <c r="D298" s="143"/>
      <c r="E298" s="14" t="s">
        <v>680</v>
      </c>
      <c r="F298" s="143" t="str">
        <f>IF(wskakunin_sekkei2_JIMU__sikaku="", "", wskakunin_sekkei2_JIMU__sikaku)</f>
        <v/>
      </c>
      <c r="G298" s="15"/>
      <c r="H298" s="15"/>
    </row>
    <row r="299" spans="1:8" ht="15" customHeight="1">
      <c r="A299" s="42"/>
      <c r="B299" s="75" t="s">
        <v>23</v>
      </c>
      <c r="C299" s="14" t="s">
        <v>681</v>
      </c>
      <c r="D299" s="143"/>
      <c r="E299" s="14" t="s">
        <v>1410</v>
      </c>
      <c r="F299" s="143" t="str">
        <f>IF(wskakunin_sekkei2_JIMU_SIKAKU__label="","",wskakunin_sekkei2_JIMU_SIKAKU__label)</f>
        <v/>
      </c>
      <c r="G299" s="15"/>
      <c r="H299" s="15"/>
    </row>
    <row r="300" spans="1:8" ht="15" customHeight="1">
      <c r="A300" s="42"/>
      <c r="B300" s="75" t="s">
        <v>543</v>
      </c>
      <c r="C300" s="14" t="s">
        <v>1324</v>
      </c>
      <c r="D300" s="143"/>
      <c r="E300" s="14" t="s">
        <v>682</v>
      </c>
      <c r="F300" s="143" t="str">
        <f>IF(wskakunin_sekkei2_JIMU_TOUROKU_KIKAN__label="","",wskakunin_sekkei2_JIMU_TOUROKU_KIKAN__label)</f>
        <v/>
      </c>
      <c r="G300" s="15"/>
      <c r="H300" s="15"/>
    </row>
    <row r="301" spans="1:8" ht="15" customHeight="1">
      <c r="A301" s="42"/>
      <c r="B301" s="75" t="s">
        <v>544</v>
      </c>
      <c r="C301" s="14" t="s">
        <v>683</v>
      </c>
      <c r="D301" s="214"/>
      <c r="E301" s="14" t="s">
        <v>684</v>
      </c>
      <c r="F301" s="143" t="str">
        <f>IF(wskakunin_sekkei2_JIMU_NO="","",wskakunin_sekkei2_JIMU_NO)</f>
        <v/>
      </c>
      <c r="G301" s="15"/>
      <c r="H301" s="15"/>
    </row>
    <row r="302" spans="1:8" ht="15" customHeight="1">
      <c r="A302" s="58"/>
      <c r="B302" s="75" t="s">
        <v>24</v>
      </c>
      <c r="C302" s="14" t="s">
        <v>685</v>
      </c>
      <c r="D302" s="143"/>
      <c r="E302" s="14" t="s">
        <v>686</v>
      </c>
      <c r="F302" s="143" t="str">
        <f>IF(wskakunin_sekkei2_JIMU_NAME="", "", wskakunin_sekkei2_JIMU_NAME)</f>
        <v/>
      </c>
      <c r="G302" s="15"/>
      <c r="H302" s="15"/>
    </row>
    <row r="303" spans="1:8" ht="15" customHeight="1">
      <c r="A303" s="42"/>
      <c r="B303" s="75" t="s">
        <v>571</v>
      </c>
      <c r="D303" s="32"/>
      <c r="E303" s="14" t="s">
        <v>687</v>
      </c>
      <c r="F303" s="143" t="str">
        <f>wskakunin_sekkei2_JIMU_NAME&amp;" "&amp;wskakunin_sekkei2_NAME</f>
        <v xml:space="preserve"> </v>
      </c>
      <c r="G303" s="15"/>
      <c r="H303" s="15"/>
    </row>
    <row r="304" spans="1:8" ht="15" customHeight="1">
      <c r="A304" s="58"/>
      <c r="B304" s="75" t="s">
        <v>20</v>
      </c>
      <c r="C304" s="14" t="s">
        <v>688</v>
      </c>
      <c r="D304" s="214"/>
      <c r="E304" s="14" t="s">
        <v>689</v>
      </c>
      <c r="F304" s="143" t="str">
        <f>IF(wskakunin_sekkei2_ZIP="", "", wskakunin_sekkei2_ZIP)</f>
        <v/>
      </c>
      <c r="G304" s="15"/>
      <c r="H304" s="15" t="s">
        <v>589</v>
      </c>
    </row>
    <row r="305" spans="1:8" ht="15" customHeight="1">
      <c r="A305" s="58"/>
      <c r="B305" s="75" t="s">
        <v>25</v>
      </c>
      <c r="C305" s="14" t="s">
        <v>690</v>
      </c>
      <c r="D305" s="143"/>
      <c r="E305" s="14" t="s">
        <v>691</v>
      </c>
      <c r="F305" s="143" t="str">
        <f>IF(wskakunin_sekkei2__address="", "", wskakunin_sekkei2__address)</f>
        <v/>
      </c>
      <c r="G305" s="15"/>
      <c r="H305" s="15"/>
    </row>
    <row r="306" spans="1:8" ht="15" customHeight="1">
      <c r="A306" s="58"/>
      <c r="B306" s="75" t="s">
        <v>22</v>
      </c>
      <c r="C306" s="14" t="s">
        <v>692</v>
      </c>
      <c r="D306" s="214"/>
      <c r="E306" s="14" t="s">
        <v>693</v>
      </c>
      <c r="F306" s="143" t="str">
        <f>IF(wskakunin_sekkei2_TEL="", "", wskakunin_sekkei2_TEL)</f>
        <v/>
      </c>
      <c r="G306" s="15"/>
      <c r="H306" s="15"/>
    </row>
    <row r="307" spans="1:8" ht="15" customHeight="1">
      <c r="A307" s="58"/>
      <c r="B307" s="75" t="s">
        <v>590</v>
      </c>
      <c r="C307" s="14" t="s">
        <v>694</v>
      </c>
      <c r="D307" s="214"/>
      <c r="E307" s="14" t="s">
        <v>695</v>
      </c>
      <c r="F307" s="143" t="str">
        <f>IF(wskakunin_sekkei2_DOC="","",wskakunin_sekkei2_DOC)</f>
        <v/>
      </c>
      <c r="G307" s="15"/>
      <c r="H307" s="15"/>
    </row>
    <row r="308" spans="1:8" ht="15" customHeight="1">
      <c r="A308" s="58"/>
      <c r="B308" s="83"/>
      <c r="G308" s="15"/>
      <c r="H308" s="15"/>
    </row>
    <row r="309" spans="1:8" ht="15" customHeight="1">
      <c r="A309" s="1" t="s">
        <v>593</v>
      </c>
      <c r="B309" s="47"/>
      <c r="G309" s="15"/>
      <c r="H309" s="15"/>
    </row>
    <row r="310" spans="1:8" ht="15" customHeight="1">
      <c r="A310" s="25"/>
      <c r="B310" s="75" t="s">
        <v>540</v>
      </c>
      <c r="C310" s="14" t="s">
        <v>696</v>
      </c>
      <c r="D310" s="143"/>
      <c r="E310" s="14" t="s">
        <v>697</v>
      </c>
      <c r="F310" s="143" t="str">
        <f>IF(wskakunin_sekkei3__sikaku="", "", wskakunin_sekkei3__sikaku)</f>
        <v/>
      </c>
      <c r="G310" s="15"/>
      <c r="H310" s="15"/>
    </row>
    <row r="311" spans="1:8" ht="15" customHeight="1">
      <c r="A311" s="30"/>
      <c r="B311" s="75" t="s">
        <v>541</v>
      </c>
      <c r="C311" s="14" t="s">
        <v>698</v>
      </c>
      <c r="D311" s="143"/>
      <c r="E311" s="14" t="s">
        <v>699</v>
      </c>
      <c r="F311" s="143" t="str">
        <f>IF(wskakunin_sekkei3_SIKAKU__label="","",wskakunin_sekkei3_SIKAKU__label)</f>
        <v/>
      </c>
      <c r="G311" s="15"/>
      <c r="H311" s="15"/>
    </row>
    <row r="312" spans="1:8" ht="15" customHeight="1">
      <c r="A312" s="30"/>
      <c r="B312" s="75" t="s">
        <v>536</v>
      </c>
      <c r="C312" s="14" t="s">
        <v>1325</v>
      </c>
      <c r="D312" s="143"/>
      <c r="E312" s="14" t="s">
        <v>700</v>
      </c>
      <c r="F312" s="143" t="str">
        <f>IF(wskakunin_sekkei3_TOUROKU_KIKAN__label="","",wskakunin_sekkei3_TOUROKU_KIKAN__label)</f>
        <v/>
      </c>
      <c r="G312" s="15"/>
      <c r="H312" s="15"/>
    </row>
    <row r="313" spans="1:8" ht="15" customHeight="1">
      <c r="A313" s="30"/>
      <c r="B313" s="75" t="s">
        <v>537</v>
      </c>
      <c r="C313" s="14" t="s">
        <v>701</v>
      </c>
      <c r="D313" s="214"/>
      <c r="E313" s="14" t="s">
        <v>702</v>
      </c>
      <c r="F313" s="143" t="str">
        <f>IF(wskakunin_sekkei3_KENTIKUSI_NO="","",wskakunin_sekkei3_KENTIKUSI_NO)</f>
        <v/>
      </c>
      <c r="G313" s="15"/>
      <c r="H313" s="15"/>
    </row>
    <row r="314" spans="1:8" ht="15" customHeight="1">
      <c r="A314" s="42"/>
      <c r="B314" s="75" t="s">
        <v>19</v>
      </c>
      <c r="C314" s="14" t="s">
        <v>703</v>
      </c>
      <c r="D314" s="143"/>
      <c r="E314" s="14" t="s">
        <v>704</v>
      </c>
      <c r="F314" s="143" t="str">
        <f>IF(wskakunin_sekkei3_NAME="", "", wskakunin_sekkei3_NAME)</f>
        <v/>
      </c>
      <c r="G314" s="15"/>
      <c r="H314" s="15"/>
    </row>
    <row r="315" spans="1:8" ht="15" customHeight="1">
      <c r="A315" s="42"/>
      <c r="B315" s="75" t="s">
        <v>542</v>
      </c>
      <c r="C315" s="14" t="s">
        <v>705</v>
      </c>
      <c r="D315" s="143"/>
      <c r="E315" s="14" t="s">
        <v>706</v>
      </c>
      <c r="F315" s="143" t="str">
        <f>IF(wskakunin_sekkei3_JIMU__sikaku="", "", wskakunin_sekkei3_JIMU__sikaku)</f>
        <v/>
      </c>
      <c r="G315" s="15"/>
      <c r="H315" s="15"/>
    </row>
    <row r="316" spans="1:8" ht="15" customHeight="1">
      <c r="A316" s="42"/>
      <c r="B316" s="75" t="s">
        <v>23</v>
      </c>
      <c r="C316" s="14" t="s">
        <v>707</v>
      </c>
      <c r="D316" s="143"/>
      <c r="E316" s="14" t="s">
        <v>1411</v>
      </c>
      <c r="F316" s="143" t="str">
        <f>IF(wskakunin_sekkei3_JIMU_SIKAKU__label="","",wskakunin_sekkei3_JIMU_SIKAKU__label)</f>
        <v/>
      </c>
      <c r="G316" s="15"/>
      <c r="H316" s="15"/>
    </row>
    <row r="317" spans="1:8" ht="15" customHeight="1">
      <c r="A317" s="42"/>
      <c r="B317" s="75" t="s">
        <v>543</v>
      </c>
      <c r="C317" s="14" t="s">
        <v>1326</v>
      </c>
      <c r="D317" s="143"/>
      <c r="E317" s="14" t="s">
        <v>708</v>
      </c>
      <c r="F317" s="143" t="str">
        <f>IF(wskakunin_sekkei3_JIMU_TOUROKU_KIKAN__label="","",wskakunin_sekkei3_JIMU_TOUROKU_KIKAN__label)</f>
        <v/>
      </c>
      <c r="G317" s="15"/>
      <c r="H317" s="15"/>
    </row>
    <row r="318" spans="1:8" ht="15" customHeight="1">
      <c r="A318" s="42"/>
      <c r="B318" s="75" t="s">
        <v>544</v>
      </c>
      <c r="C318" s="14" t="s">
        <v>709</v>
      </c>
      <c r="D318" s="214"/>
      <c r="E318" s="14" t="s">
        <v>710</v>
      </c>
      <c r="F318" s="143" t="str">
        <f>IF(wskakunin_sekkei3_JIMU_NO="","",wskakunin_sekkei3_JIMU_NO)</f>
        <v/>
      </c>
      <c r="G318" s="15"/>
      <c r="H318" s="15"/>
    </row>
    <row r="319" spans="1:8" ht="15" customHeight="1">
      <c r="A319" s="58"/>
      <c r="B319" s="75" t="s">
        <v>24</v>
      </c>
      <c r="C319" s="14" t="s">
        <v>711</v>
      </c>
      <c r="D319" s="143"/>
      <c r="E319" s="14" t="s">
        <v>712</v>
      </c>
      <c r="F319" s="143" t="str">
        <f>IF(wskakunin_sekkei3_JIMU_NAME="", "", wskakunin_sekkei3_JIMU_NAME)</f>
        <v/>
      </c>
      <c r="G319" s="15"/>
      <c r="H319" s="15"/>
    </row>
    <row r="320" spans="1:8" ht="15" customHeight="1">
      <c r="A320" s="42"/>
      <c r="B320" s="75" t="s">
        <v>571</v>
      </c>
      <c r="D320" s="32"/>
      <c r="E320" s="14" t="s">
        <v>713</v>
      </c>
      <c r="F320" s="143" t="str">
        <f>wskakunin_sekkei3_JIMU_NAME&amp;" "&amp;wskakunin_sekkei3_NAME</f>
        <v xml:space="preserve"> </v>
      </c>
      <c r="G320" s="15"/>
      <c r="H320" s="15"/>
    </row>
    <row r="321" spans="1:8" ht="15" customHeight="1">
      <c r="A321" s="58"/>
      <c r="B321" s="75" t="s">
        <v>20</v>
      </c>
      <c r="C321" s="14" t="s">
        <v>714</v>
      </c>
      <c r="D321" s="214"/>
      <c r="E321" s="14" t="s">
        <v>715</v>
      </c>
      <c r="F321" s="143" t="str">
        <f>IF(wskakunin_sekkei3_ZIP="", "", wskakunin_sekkei3_ZIP)</f>
        <v/>
      </c>
      <c r="G321" s="15"/>
      <c r="H321" s="15" t="s">
        <v>589</v>
      </c>
    </row>
    <row r="322" spans="1:8" ht="15" customHeight="1">
      <c r="A322" s="58"/>
      <c r="B322" s="75" t="s">
        <v>25</v>
      </c>
      <c r="C322" s="14" t="s">
        <v>716</v>
      </c>
      <c r="D322" s="143"/>
      <c r="E322" s="14" t="s">
        <v>717</v>
      </c>
      <c r="F322" s="143" t="str">
        <f>IF(wskakunin_sekkei3__address="", "", wskakunin_sekkei3__address)</f>
        <v/>
      </c>
      <c r="G322" s="15"/>
      <c r="H322" s="15"/>
    </row>
    <row r="323" spans="1:8" ht="15" customHeight="1">
      <c r="A323" s="58"/>
      <c r="B323" s="75" t="s">
        <v>22</v>
      </c>
      <c r="C323" s="14" t="s">
        <v>718</v>
      </c>
      <c r="D323" s="214"/>
      <c r="E323" s="14" t="s">
        <v>719</v>
      </c>
      <c r="F323" s="143" t="str">
        <f>IF(wskakunin_sekkei3_TEL="", "", wskakunin_sekkei3_TEL)</f>
        <v/>
      </c>
      <c r="G323" s="15"/>
      <c r="H323" s="15"/>
    </row>
    <row r="324" spans="1:8" ht="15" customHeight="1">
      <c r="A324" s="58"/>
      <c r="B324" s="75" t="s">
        <v>590</v>
      </c>
      <c r="C324" s="14" t="s">
        <v>720</v>
      </c>
      <c r="D324" s="214"/>
      <c r="E324" s="14" t="s">
        <v>721</v>
      </c>
      <c r="F324" s="143" t="str">
        <f>IF(wskakunin_sekkei3_DOC="","",wskakunin_sekkei3_DOC)</f>
        <v/>
      </c>
      <c r="G324" s="15"/>
      <c r="H324" s="15"/>
    </row>
    <row r="325" spans="1:8" ht="15" customHeight="1">
      <c r="A325" s="58"/>
      <c r="B325" s="83"/>
      <c r="G325" s="15"/>
      <c r="H325" s="15"/>
    </row>
    <row r="326" spans="1:8" ht="15" customHeight="1">
      <c r="A326" s="44" t="s">
        <v>594</v>
      </c>
      <c r="B326" s="47"/>
      <c r="G326" s="15"/>
      <c r="H326" s="15"/>
    </row>
    <row r="327" spans="1:8" ht="15" customHeight="1">
      <c r="A327" s="81"/>
      <c r="B327" s="75" t="s">
        <v>540</v>
      </c>
      <c r="C327" s="14" t="s">
        <v>722</v>
      </c>
      <c r="D327" s="143"/>
      <c r="E327" s="14" t="s">
        <v>723</v>
      </c>
      <c r="F327" s="143" t="str">
        <f>IF(wskakunin_sekkei4__sikaku="", "", wskakunin_sekkei4__sikaku)</f>
        <v/>
      </c>
      <c r="G327" s="15"/>
      <c r="H327" s="15"/>
    </row>
    <row r="328" spans="1:8" ht="15" customHeight="1">
      <c r="A328" s="81"/>
      <c r="B328" s="75" t="s">
        <v>541</v>
      </c>
      <c r="C328" s="14" t="s">
        <v>724</v>
      </c>
      <c r="D328" s="143"/>
      <c r="E328" s="14" t="s">
        <v>725</v>
      </c>
      <c r="F328" s="143" t="str">
        <f>IF(wskakunin_sekkei4_SIKAKU__label="","",wskakunin_sekkei4_SIKAKU__label)</f>
        <v/>
      </c>
      <c r="G328" s="15"/>
      <c r="H328" s="15"/>
    </row>
    <row r="329" spans="1:8" ht="15" customHeight="1">
      <c r="A329" s="81"/>
      <c r="B329" s="75" t="s">
        <v>536</v>
      </c>
      <c r="C329" s="14" t="s">
        <v>1327</v>
      </c>
      <c r="D329" s="143"/>
      <c r="E329" s="14" t="s">
        <v>726</v>
      </c>
      <c r="F329" s="143" t="str">
        <f>IF(wskakunin_sekkei4_TOUROKU_KIKAN__label="","",wskakunin_sekkei4_TOUROKU_KIKAN__label)</f>
        <v/>
      </c>
      <c r="G329" s="15"/>
      <c r="H329" s="15"/>
    </row>
    <row r="330" spans="1:8" ht="15" customHeight="1">
      <c r="A330" s="81"/>
      <c r="B330" s="75" t="s">
        <v>537</v>
      </c>
      <c r="C330" s="14" t="s">
        <v>727</v>
      </c>
      <c r="D330" s="214"/>
      <c r="E330" s="14" t="s">
        <v>728</v>
      </c>
      <c r="F330" s="143" t="str">
        <f>IF(wskakunin_sekkei4_KENTIKUSI_NO="","",wskakunin_sekkei4_KENTIKUSI_NO)</f>
        <v/>
      </c>
      <c r="G330" s="15"/>
      <c r="H330" s="15"/>
    </row>
    <row r="331" spans="1:8" ht="15" customHeight="1">
      <c r="A331" s="48"/>
      <c r="B331" s="75" t="s">
        <v>19</v>
      </c>
      <c r="C331" s="14" t="s">
        <v>729</v>
      </c>
      <c r="D331" s="143"/>
      <c r="E331" s="14" t="s">
        <v>730</v>
      </c>
      <c r="F331" s="143" t="str">
        <f>IF(wskakunin_sekkei4_NAME="", "", wskakunin_sekkei4_NAME)</f>
        <v/>
      </c>
      <c r="G331" s="15"/>
      <c r="H331" s="15"/>
    </row>
    <row r="332" spans="1:8" ht="15" customHeight="1">
      <c r="A332" s="48"/>
      <c r="B332" s="75" t="s">
        <v>542</v>
      </c>
      <c r="C332" s="14" t="s">
        <v>731</v>
      </c>
      <c r="D332" s="143"/>
      <c r="E332" s="14" t="s">
        <v>732</v>
      </c>
      <c r="F332" s="143" t="str">
        <f>IF(wskakunin_sekkei4_JIMU__sikaku="", "", wskakunin_sekkei4_JIMU__sikaku)</f>
        <v/>
      </c>
      <c r="G332" s="15"/>
      <c r="H332" s="15"/>
    </row>
    <row r="333" spans="1:8" ht="15" customHeight="1">
      <c r="A333" s="48"/>
      <c r="B333" s="75" t="s">
        <v>23</v>
      </c>
      <c r="C333" s="14" t="s">
        <v>733</v>
      </c>
      <c r="D333" s="143"/>
      <c r="E333" s="14" t="s">
        <v>1412</v>
      </c>
      <c r="F333" s="143" t="str">
        <f>IF(wskakunin_sekkei4_JIMU_SIKAKU__label="","",wskakunin_sekkei4_JIMU_SIKAKU__label)</f>
        <v/>
      </c>
      <c r="G333" s="15"/>
      <c r="H333" s="15"/>
    </row>
    <row r="334" spans="1:8" ht="15" customHeight="1">
      <c r="A334" s="48"/>
      <c r="B334" s="75" t="s">
        <v>543</v>
      </c>
      <c r="C334" s="14" t="s">
        <v>1328</v>
      </c>
      <c r="D334" s="143"/>
      <c r="E334" s="14" t="s">
        <v>734</v>
      </c>
      <c r="F334" s="143" t="str">
        <f>IF(wskakunin_sekkei4_JIMU_TOUROKU_KIKAN__label="","",wskakunin_sekkei4_JIMU_TOUROKU_KIKAN__label)</f>
        <v/>
      </c>
      <c r="G334" s="15"/>
      <c r="H334" s="15"/>
    </row>
    <row r="335" spans="1:8" ht="15" customHeight="1">
      <c r="A335" s="48"/>
      <c r="B335" s="75" t="s">
        <v>544</v>
      </c>
      <c r="C335" s="14" t="s">
        <v>735</v>
      </c>
      <c r="D335" s="214"/>
      <c r="E335" s="14" t="s">
        <v>736</v>
      </c>
      <c r="F335" s="143" t="str">
        <f>IF(wskakunin_sekkei4_JIMU_NO="","",wskakunin_sekkei4_JIMU_NO)</f>
        <v/>
      </c>
      <c r="G335" s="15"/>
      <c r="H335" s="15"/>
    </row>
    <row r="336" spans="1:8" ht="15" customHeight="1">
      <c r="A336" s="48"/>
      <c r="B336" s="75" t="s">
        <v>24</v>
      </c>
      <c r="C336" s="14" t="s">
        <v>737</v>
      </c>
      <c r="D336" s="143"/>
      <c r="E336" s="14" t="s">
        <v>738</v>
      </c>
      <c r="F336" s="143" t="str">
        <f>IF(wskakunin_sekkei4_JIMU_NAME="", "", wskakunin_sekkei4_JIMU_NAME)</f>
        <v/>
      </c>
      <c r="G336" s="15"/>
      <c r="H336" s="15"/>
    </row>
    <row r="337" spans="1:8" ht="15" customHeight="1">
      <c r="A337" s="48"/>
      <c r="B337" s="75" t="s">
        <v>571</v>
      </c>
      <c r="D337" s="32"/>
      <c r="E337" s="14" t="s">
        <v>739</v>
      </c>
      <c r="F337" s="143" t="str">
        <f>wskakunin_sekkei4_JIMU_NAME&amp;" "&amp;wskakunin_sekkei4_NAME</f>
        <v xml:space="preserve"> </v>
      </c>
      <c r="G337" s="15"/>
      <c r="H337" s="15"/>
    </row>
    <row r="338" spans="1:8" ht="15" customHeight="1">
      <c r="A338" s="48"/>
      <c r="B338" s="75" t="s">
        <v>20</v>
      </c>
      <c r="C338" s="14" t="s">
        <v>740</v>
      </c>
      <c r="D338" s="214"/>
      <c r="E338" s="14" t="s">
        <v>741</v>
      </c>
      <c r="F338" s="143" t="str">
        <f>IF(wskakunin_sekkei4_ZIP="", "", wskakunin_sekkei4_ZIP)</f>
        <v/>
      </c>
      <c r="G338" s="15"/>
      <c r="H338" s="15" t="s">
        <v>589</v>
      </c>
    </row>
    <row r="339" spans="1:8" ht="15" customHeight="1">
      <c r="A339" s="48"/>
      <c r="B339" s="75" t="s">
        <v>25</v>
      </c>
      <c r="C339" s="14" t="s">
        <v>742</v>
      </c>
      <c r="D339" s="143"/>
      <c r="E339" s="14" t="s">
        <v>743</v>
      </c>
      <c r="F339" s="143" t="str">
        <f>IF(wskakunin_sekkei4__address="", "", wskakunin_sekkei4__address)</f>
        <v/>
      </c>
      <c r="G339" s="15"/>
      <c r="H339" s="15"/>
    </row>
    <row r="340" spans="1:8" ht="15" customHeight="1">
      <c r="A340" s="48"/>
      <c r="B340" s="75" t="s">
        <v>22</v>
      </c>
      <c r="C340" s="14" t="s">
        <v>744</v>
      </c>
      <c r="D340" s="214"/>
      <c r="E340" s="14" t="s">
        <v>745</v>
      </c>
      <c r="F340" s="143" t="str">
        <f>IF(wskakunin_sekkei4_TEL="", "", wskakunin_sekkei4_TEL)</f>
        <v/>
      </c>
      <c r="G340" s="15"/>
      <c r="H340" s="15"/>
    </row>
    <row r="341" spans="1:8" ht="15" customHeight="1">
      <c r="A341" s="48"/>
      <c r="B341" s="75" t="s">
        <v>590</v>
      </c>
      <c r="C341" s="14" t="s">
        <v>746</v>
      </c>
      <c r="D341" s="214"/>
      <c r="E341" s="14" t="s">
        <v>747</v>
      </c>
      <c r="F341" s="143" t="str">
        <f>IF(wskakunin_sekkei4_DOC="","",wskakunin_sekkei4_DOC)</f>
        <v/>
      </c>
      <c r="G341" s="15"/>
      <c r="H341" s="15"/>
    </row>
    <row r="342" spans="1:8" ht="15" customHeight="1">
      <c r="A342" s="49"/>
      <c r="B342" s="83"/>
      <c r="G342" s="15"/>
      <c r="H342" s="15"/>
    </row>
    <row r="343" spans="1:8" ht="15" customHeight="1">
      <c r="A343" s="1" t="s">
        <v>1693</v>
      </c>
      <c r="B343" s="47"/>
      <c r="G343" s="15"/>
      <c r="H343" s="15"/>
    </row>
    <row r="344" spans="1:8" ht="15" customHeight="1">
      <c r="A344" s="25"/>
      <c r="B344" s="75" t="s">
        <v>540</v>
      </c>
      <c r="C344" s="14" t="s">
        <v>1694</v>
      </c>
      <c r="D344" s="143"/>
      <c r="E344" s="14" t="s">
        <v>1695</v>
      </c>
      <c r="F344" s="143" t="str">
        <f>IF(wskakunin_sekkei5__sikaku="", "", wskakunin_sekkei5__sikaku)</f>
        <v/>
      </c>
      <c r="H344" s="15"/>
    </row>
    <row r="345" spans="1:8" ht="15" customHeight="1">
      <c r="A345" s="30"/>
      <c r="B345" s="75" t="s">
        <v>541</v>
      </c>
      <c r="C345" s="14" t="s">
        <v>1696</v>
      </c>
      <c r="D345" s="143"/>
      <c r="E345" s="14" t="s">
        <v>1697</v>
      </c>
      <c r="F345" s="143" t="str">
        <f>IF(wskakunin_sekkei5_SIKAKU__label="","",wskakunin_sekkei5_SIKAKU__label)</f>
        <v/>
      </c>
      <c r="H345" s="15"/>
    </row>
    <row r="346" spans="1:8" ht="15" customHeight="1">
      <c r="A346" s="30"/>
      <c r="B346" s="75" t="s">
        <v>536</v>
      </c>
      <c r="C346" s="14" t="s">
        <v>1698</v>
      </c>
      <c r="D346" s="143"/>
      <c r="E346" s="14" t="s">
        <v>1699</v>
      </c>
      <c r="F346" s="143" t="str">
        <f>IF(wskakunin_sekkei5_TOUROKU_KIKAN__label="","",wskakunin_sekkei5_TOUROKU_KIKAN__label)</f>
        <v/>
      </c>
      <c r="H346" s="15"/>
    </row>
    <row r="347" spans="1:8" ht="15" customHeight="1">
      <c r="A347" s="30"/>
      <c r="B347" s="75" t="s">
        <v>537</v>
      </c>
      <c r="C347" s="14" t="s">
        <v>1700</v>
      </c>
      <c r="D347" s="214"/>
      <c r="E347" s="14" t="s">
        <v>1701</v>
      </c>
      <c r="F347" s="143" t="str">
        <f>IF(wskakunin_sekkei5_KENTIKUSI_NO="","",wskakunin_sekkei5_KENTIKUSI_NO)</f>
        <v/>
      </c>
      <c r="H347" s="15"/>
    </row>
    <row r="348" spans="1:8" ht="15" customHeight="1">
      <c r="A348" s="42"/>
      <c r="B348" s="75" t="s">
        <v>19</v>
      </c>
      <c r="C348" s="14" t="s">
        <v>1702</v>
      </c>
      <c r="D348" s="143"/>
      <c r="E348" s="14" t="s">
        <v>1703</v>
      </c>
      <c r="F348" s="143" t="str">
        <f>IF(wskakunin_sekkei5_NAME="", "", wskakunin_sekkei5_NAME)</f>
        <v/>
      </c>
      <c r="H348" s="15"/>
    </row>
    <row r="349" spans="1:8" ht="15" customHeight="1">
      <c r="A349" s="42"/>
      <c r="B349" s="75" t="s">
        <v>542</v>
      </c>
      <c r="C349" s="14" t="s">
        <v>1704</v>
      </c>
      <c r="D349" s="143"/>
      <c r="E349" s="14" t="s">
        <v>1705</v>
      </c>
      <c r="F349" s="143" t="str">
        <f>IF(wskakunin_sekkei5_JIMU__sikaku="", "", wskakunin_sekkei5_JIMU__sikaku)</f>
        <v/>
      </c>
      <c r="H349" s="15"/>
    </row>
    <row r="350" spans="1:8" ht="15" customHeight="1">
      <c r="A350" s="42"/>
      <c r="B350" s="75" t="s">
        <v>23</v>
      </c>
      <c r="C350" s="14" t="s">
        <v>1706</v>
      </c>
      <c r="D350" s="143"/>
      <c r="E350" s="14" t="s">
        <v>1707</v>
      </c>
      <c r="F350" s="143" t="str">
        <f>IF(wskakunin_sekkei5_JIMU_SIKAKU__label="","",wskakunin_sekkei5_JIMU_SIKAKU__label)</f>
        <v/>
      </c>
      <c r="H350" s="15"/>
    </row>
    <row r="351" spans="1:8" ht="15" customHeight="1">
      <c r="A351" s="42"/>
      <c r="B351" s="75" t="s">
        <v>543</v>
      </c>
      <c r="C351" s="14" t="s">
        <v>1708</v>
      </c>
      <c r="D351" s="143"/>
      <c r="E351" s="14" t="s">
        <v>1709</v>
      </c>
      <c r="F351" s="143" t="str">
        <f>IF(wskakunin_sekkei5_JIMU_TOUROKU_KIKAN__label="","",wskakunin_sekkei5_JIMU_TOUROKU_KIKAN__label)</f>
        <v/>
      </c>
      <c r="H351" s="15"/>
    </row>
    <row r="352" spans="1:8" ht="15" customHeight="1">
      <c r="A352" s="42"/>
      <c r="B352" s="75" t="s">
        <v>544</v>
      </c>
      <c r="C352" s="14" t="s">
        <v>1710</v>
      </c>
      <c r="D352" s="214"/>
      <c r="E352" s="14" t="s">
        <v>1711</v>
      </c>
      <c r="F352" s="143" t="str">
        <f>IF(wskakunin_sekkei5_JIMU_NO="","",wskakunin_sekkei5_JIMU_NO)</f>
        <v/>
      </c>
      <c r="H352" s="15"/>
    </row>
    <row r="353" spans="1:8" ht="15" customHeight="1">
      <c r="A353" s="58"/>
      <c r="B353" s="75" t="s">
        <v>24</v>
      </c>
      <c r="C353" s="14" t="s">
        <v>1712</v>
      </c>
      <c r="D353" s="143"/>
      <c r="E353" s="14" t="s">
        <v>1713</v>
      </c>
      <c r="F353" s="143" t="str">
        <f>IF(wskakunin_sekkei5_JIMU_NAME="", "", wskakunin_sekkei5_JIMU_NAME)</f>
        <v/>
      </c>
      <c r="H353" s="15"/>
    </row>
    <row r="354" spans="1:8" ht="15" customHeight="1">
      <c r="A354" s="42"/>
      <c r="B354" s="75" t="s">
        <v>571</v>
      </c>
      <c r="D354" s="32"/>
      <c r="E354" s="14" t="s">
        <v>1714</v>
      </c>
      <c r="F354" s="143" t="str">
        <f>wskakunin_sekkei5_JIMU_NAME&amp;" "&amp;wskakunin_sekkei5_NAME</f>
        <v xml:space="preserve"> </v>
      </c>
      <c r="H354" s="15"/>
    </row>
    <row r="355" spans="1:8" ht="15" customHeight="1">
      <c r="A355" s="58"/>
      <c r="B355" s="75" t="s">
        <v>20</v>
      </c>
      <c r="C355" s="14" t="s">
        <v>1715</v>
      </c>
      <c r="D355" s="214"/>
      <c r="E355" s="14" t="s">
        <v>1716</v>
      </c>
      <c r="F355" s="143" t="str">
        <f>IF(wskakunin_sekkei5_ZIP="", "", wskakunin_sekkei5_ZIP)</f>
        <v/>
      </c>
      <c r="H355" s="15" t="s">
        <v>589</v>
      </c>
    </row>
    <row r="356" spans="1:8" ht="15" customHeight="1">
      <c r="A356" s="58"/>
      <c r="B356" s="75" t="s">
        <v>25</v>
      </c>
      <c r="C356" s="14" t="s">
        <v>1717</v>
      </c>
      <c r="D356" s="143"/>
      <c r="E356" s="14" t="s">
        <v>1718</v>
      </c>
      <c r="F356" s="143" t="str">
        <f>IF(wskakunin_sekkei5__address="", "", wskakunin_sekkei5__address)</f>
        <v/>
      </c>
      <c r="H356" s="15"/>
    </row>
    <row r="357" spans="1:8" ht="15" customHeight="1">
      <c r="A357" s="58"/>
      <c r="B357" s="75" t="s">
        <v>22</v>
      </c>
      <c r="C357" s="14" t="s">
        <v>1719</v>
      </c>
      <c r="D357" s="214"/>
      <c r="E357" s="14" t="s">
        <v>1720</v>
      </c>
      <c r="F357" s="143" t="str">
        <f>IF(wskakunin_sekkei5_TEL="", "", wskakunin_sekkei5_TEL)</f>
        <v/>
      </c>
      <c r="H357" s="15"/>
    </row>
    <row r="358" spans="1:8" ht="15" customHeight="1">
      <c r="A358" s="58"/>
      <c r="B358" s="75" t="s">
        <v>590</v>
      </c>
      <c r="C358" s="14" t="s">
        <v>1721</v>
      </c>
      <c r="D358" s="214"/>
      <c r="E358" s="14" t="s">
        <v>1722</v>
      </c>
      <c r="F358" s="143" t="str">
        <f>IF(wskakunin_sekkei5_DOC="","",wskakunin_sekkei5_DOC)</f>
        <v/>
      </c>
      <c r="H358" s="15"/>
    </row>
    <row r="359" spans="1:8" ht="15" customHeight="1">
      <c r="A359" s="58"/>
      <c r="B359" s="83"/>
      <c r="H359" s="15"/>
    </row>
    <row r="360" spans="1:8" ht="15" customHeight="1">
      <c r="A360" s="1" t="s">
        <v>1898</v>
      </c>
      <c r="B360" s="47"/>
      <c r="H360" s="15"/>
    </row>
    <row r="361" spans="1:8" ht="15" customHeight="1">
      <c r="A361" s="25"/>
      <c r="B361" s="75" t="s">
        <v>540</v>
      </c>
      <c r="C361" s="14" t="s">
        <v>1723</v>
      </c>
      <c r="D361" s="143"/>
      <c r="E361" s="14" t="s">
        <v>1724</v>
      </c>
      <c r="F361" s="143" t="str">
        <f>IF(wskakunin_sekkei6__sikaku="", "", wskakunin_sekkei6__sikaku)</f>
        <v/>
      </c>
      <c r="H361" s="15"/>
    </row>
    <row r="362" spans="1:8" ht="15" customHeight="1">
      <c r="A362" s="30"/>
      <c r="B362" s="75" t="s">
        <v>541</v>
      </c>
      <c r="C362" s="14" t="s">
        <v>1725</v>
      </c>
      <c r="D362" s="143"/>
      <c r="E362" s="14" t="s">
        <v>1726</v>
      </c>
      <c r="F362" s="143" t="str">
        <f>IF(wskakunin_sekkei6_SIKAKU__label="","",wskakunin_sekkei6_SIKAKU__label)</f>
        <v/>
      </c>
      <c r="H362" s="15"/>
    </row>
    <row r="363" spans="1:8" ht="15" customHeight="1">
      <c r="A363" s="30"/>
      <c r="B363" s="75" t="s">
        <v>536</v>
      </c>
      <c r="C363" s="14" t="s">
        <v>1727</v>
      </c>
      <c r="D363" s="143"/>
      <c r="E363" s="14" t="s">
        <v>1728</v>
      </c>
      <c r="F363" s="143" t="str">
        <f>IF(wskakunin_sekkei6_TOUROKU_KIKAN__label="","",wskakunin_sekkei6_TOUROKU_KIKAN__label)</f>
        <v/>
      </c>
      <c r="H363" s="15"/>
    </row>
    <row r="364" spans="1:8" ht="15" customHeight="1">
      <c r="A364" s="30"/>
      <c r="B364" s="75" t="s">
        <v>537</v>
      </c>
      <c r="C364" s="14" t="s">
        <v>1729</v>
      </c>
      <c r="D364" s="214"/>
      <c r="E364" s="14" t="s">
        <v>1730</v>
      </c>
      <c r="F364" s="143" t="str">
        <f>IF(wskakunin_sekkei6_KENTIKUSI_NO="","",wskakunin_sekkei6_KENTIKUSI_NO)</f>
        <v/>
      </c>
      <c r="H364" s="15"/>
    </row>
    <row r="365" spans="1:8" ht="15" customHeight="1">
      <c r="A365" s="42"/>
      <c r="B365" s="75" t="s">
        <v>19</v>
      </c>
      <c r="C365" s="14" t="s">
        <v>1731</v>
      </c>
      <c r="D365" s="143"/>
      <c r="E365" s="14" t="s">
        <v>1732</v>
      </c>
      <c r="F365" s="143" t="str">
        <f>IF(wskakunin_sekkei6_NAME="", "", wskakunin_sekkei6_NAME)</f>
        <v/>
      </c>
      <c r="H365" s="15"/>
    </row>
    <row r="366" spans="1:8" ht="15" customHeight="1">
      <c r="A366" s="42"/>
      <c r="B366" s="75" t="s">
        <v>542</v>
      </c>
      <c r="C366" s="14" t="s">
        <v>1733</v>
      </c>
      <c r="D366" s="143"/>
      <c r="E366" s="14" t="s">
        <v>1734</v>
      </c>
      <c r="F366" s="143" t="str">
        <f>IF(wskakunin_sekkei6_JIMU__sikaku="", "", wskakunin_sekkei6_JIMU__sikaku)</f>
        <v/>
      </c>
      <c r="H366" s="15"/>
    </row>
    <row r="367" spans="1:8" ht="15" customHeight="1">
      <c r="A367" s="42"/>
      <c r="B367" s="75" t="s">
        <v>23</v>
      </c>
      <c r="C367" s="14" t="s">
        <v>1735</v>
      </c>
      <c r="D367" s="143"/>
      <c r="E367" s="14" t="s">
        <v>1736</v>
      </c>
      <c r="F367" s="143" t="str">
        <f>IF(wskakunin_sekkei6_JIMU_SIKAKU__label="","",wskakunin_sekkei6_JIMU_SIKAKU__label)</f>
        <v/>
      </c>
      <c r="H367" s="15"/>
    </row>
    <row r="368" spans="1:8" ht="15" customHeight="1">
      <c r="A368" s="42"/>
      <c r="B368" s="75" t="s">
        <v>543</v>
      </c>
      <c r="C368" s="14" t="s">
        <v>1737</v>
      </c>
      <c r="D368" s="143"/>
      <c r="E368" s="14" t="s">
        <v>1738</v>
      </c>
      <c r="F368" s="143" t="str">
        <f>IF(wskakunin_sekkei6_JIMU_TOUROKU_KIKAN__label="","",wskakunin_sekkei6_JIMU_TOUROKU_KIKAN__label)</f>
        <v/>
      </c>
      <c r="H368" s="15"/>
    </row>
    <row r="369" spans="1:8" ht="15" customHeight="1">
      <c r="A369" s="42"/>
      <c r="B369" s="75" t="s">
        <v>544</v>
      </c>
      <c r="C369" s="14" t="s">
        <v>1739</v>
      </c>
      <c r="D369" s="214"/>
      <c r="E369" s="14" t="s">
        <v>1740</v>
      </c>
      <c r="F369" s="143" t="str">
        <f>IF(wskakunin_sekkei6_JIMU_NO="","",wskakunin_sekkei6_JIMU_NO)</f>
        <v/>
      </c>
      <c r="H369" s="15"/>
    </row>
    <row r="370" spans="1:8" ht="15" customHeight="1">
      <c r="A370" s="58"/>
      <c r="B370" s="75" t="s">
        <v>24</v>
      </c>
      <c r="C370" s="14" t="s">
        <v>1741</v>
      </c>
      <c r="D370" s="143"/>
      <c r="E370" s="14" t="s">
        <v>1742</v>
      </c>
      <c r="F370" s="143" t="str">
        <f>IF(wskakunin_sekkei6_JIMU_NAME="", "", wskakunin_sekkei6_JIMU_NAME)</f>
        <v/>
      </c>
      <c r="H370" s="15"/>
    </row>
    <row r="371" spans="1:8" ht="15" customHeight="1">
      <c r="A371" s="42"/>
      <c r="B371" s="75" t="s">
        <v>571</v>
      </c>
      <c r="D371" s="32"/>
      <c r="E371" s="14" t="s">
        <v>1743</v>
      </c>
      <c r="F371" s="143" t="str">
        <f>wskakunin_sekkei6_JIMU_NAME&amp;" "&amp;wskakunin_sekkei6_NAME</f>
        <v xml:space="preserve"> </v>
      </c>
      <c r="H371" s="15"/>
    </row>
    <row r="372" spans="1:8" ht="15" customHeight="1">
      <c r="A372" s="58"/>
      <c r="B372" s="75" t="s">
        <v>20</v>
      </c>
      <c r="C372" s="14" t="s">
        <v>1744</v>
      </c>
      <c r="D372" s="214"/>
      <c r="E372" s="14" t="s">
        <v>1745</v>
      </c>
      <c r="F372" s="143" t="str">
        <f>IF(wskakunin_sekkei6_ZIP="", "", wskakunin_sekkei6_ZIP)</f>
        <v/>
      </c>
      <c r="H372" s="15" t="s">
        <v>589</v>
      </c>
    </row>
    <row r="373" spans="1:8" ht="15" customHeight="1">
      <c r="A373" s="58"/>
      <c r="B373" s="75" t="s">
        <v>25</v>
      </c>
      <c r="C373" s="14" t="s">
        <v>1746</v>
      </c>
      <c r="D373" s="143"/>
      <c r="E373" s="14" t="s">
        <v>1747</v>
      </c>
      <c r="F373" s="143" t="str">
        <f>IF(wskakunin_sekkei6__address="", "", wskakunin_sekkei6__address)</f>
        <v/>
      </c>
      <c r="H373" s="15"/>
    </row>
    <row r="374" spans="1:8" ht="15" customHeight="1">
      <c r="A374" s="58"/>
      <c r="B374" s="75" t="s">
        <v>22</v>
      </c>
      <c r="C374" s="14" t="s">
        <v>1748</v>
      </c>
      <c r="D374" s="214"/>
      <c r="E374" s="14" t="s">
        <v>1749</v>
      </c>
      <c r="F374" s="143" t="str">
        <f>IF(wskakunin_sekkei6_TEL="", "", wskakunin_sekkei6_TEL)</f>
        <v/>
      </c>
      <c r="H374" s="15"/>
    </row>
    <row r="375" spans="1:8" ht="15" customHeight="1">
      <c r="A375" s="58"/>
      <c r="B375" s="75" t="s">
        <v>590</v>
      </c>
      <c r="C375" s="14" t="s">
        <v>1750</v>
      </c>
      <c r="D375" s="214"/>
      <c r="E375" s="14" t="s">
        <v>1751</v>
      </c>
      <c r="F375" s="143" t="str">
        <f>IF(wskakunin_sekkei6_DOC="","",wskakunin_sekkei6_DOC)</f>
        <v/>
      </c>
      <c r="H375" s="15"/>
    </row>
    <row r="376" spans="1:8" ht="15" customHeight="1">
      <c r="A376" s="58"/>
      <c r="B376" s="83"/>
      <c r="H376" s="15"/>
    </row>
    <row r="377" spans="1:8" ht="15" customHeight="1">
      <c r="A377" s="1" t="s">
        <v>1899</v>
      </c>
      <c r="B377" s="47"/>
      <c r="H377" s="15"/>
    </row>
    <row r="378" spans="1:8" ht="15" customHeight="1">
      <c r="A378" s="25"/>
      <c r="B378" s="75" t="s">
        <v>540</v>
      </c>
      <c r="C378" s="14" t="s">
        <v>1752</v>
      </c>
      <c r="D378" s="143"/>
      <c r="E378" s="14" t="s">
        <v>1753</v>
      </c>
      <c r="F378" s="143" t="str">
        <f>IF(wskakunin_sekkei7__sikaku="", "", wskakunin_sekkei7__sikaku)</f>
        <v/>
      </c>
      <c r="H378" s="15"/>
    </row>
    <row r="379" spans="1:8" ht="15" customHeight="1">
      <c r="A379" s="30"/>
      <c r="B379" s="75" t="s">
        <v>541</v>
      </c>
      <c r="C379" s="14" t="s">
        <v>1754</v>
      </c>
      <c r="D379" s="143"/>
      <c r="E379" s="14" t="s">
        <v>1755</v>
      </c>
      <c r="F379" s="143" t="str">
        <f>IF(wskakunin_sekkei7_SIKAKU__label="","",wskakunin_sekkei7_SIKAKU__label)</f>
        <v/>
      </c>
      <c r="H379" s="15"/>
    </row>
    <row r="380" spans="1:8" ht="15" customHeight="1">
      <c r="A380" s="30"/>
      <c r="B380" s="75" t="s">
        <v>536</v>
      </c>
      <c r="C380" s="14" t="s">
        <v>1756</v>
      </c>
      <c r="D380" s="143"/>
      <c r="E380" s="14" t="s">
        <v>1757</v>
      </c>
      <c r="F380" s="143" t="str">
        <f>IF(wskakunin_sekkei7_TOUROKU_KIKAN__label="","",wskakunin_sekkei7_TOUROKU_KIKAN__label)</f>
        <v/>
      </c>
      <c r="H380" s="15"/>
    </row>
    <row r="381" spans="1:8" ht="15" customHeight="1">
      <c r="A381" s="30"/>
      <c r="B381" s="75" t="s">
        <v>537</v>
      </c>
      <c r="C381" s="14" t="s">
        <v>1758</v>
      </c>
      <c r="D381" s="214"/>
      <c r="E381" s="14" t="s">
        <v>1759</v>
      </c>
      <c r="F381" s="143" t="str">
        <f>IF(wskakunin_sekkei7_KENTIKUSI_NO="","",wskakunin_sekkei7_KENTIKUSI_NO)</f>
        <v/>
      </c>
      <c r="H381" s="15"/>
    </row>
    <row r="382" spans="1:8" ht="15" customHeight="1">
      <c r="A382" s="42"/>
      <c r="B382" s="75" t="s">
        <v>19</v>
      </c>
      <c r="C382" s="14" t="s">
        <v>1760</v>
      </c>
      <c r="D382" s="143"/>
      <c r="E382" s="14" t="s">
        <v>1761</v>
      </c>
      <c r="F382" s="143" t="str">
        <f>IF(wskakunin_sekkei7_NAME="", "", wskakunin_sekkei7_NAME)</f>
        <v/>
      </c>
      <c r="H382" s="15"/>
    </row>
    <row r="383" spans="1:8" ht="15" customHeight="1">
      <c r="A383" s="42"/>
      <c r="B383" s="75" t="s">
        <v>542</v>
      </c>
      <c r="C383" s="14" t="s">
        <v>1762</v>
      </c>
      <c r="D383" s="143"/>
      <c r="E383" s="14" t="s">
        <v>1763</v>
      </c>
      <c r="F383" s="143" t="str">
        <f>IF(wskakunin_sekkei7_JIMU__sikaku="", "", wskakunin_sekkei7_JIMU__sikaku)</f>
        <v/>
      </c>
      <c r="H383" s="15"/>
    </row>
    <row r="384" spans="1:8" ht="15" customHeight="1">
      <c r="A384" s="42"/>
      <c r="B384" s="75" t="s">
        <v>23</v>
      </c>
      <c r="C384" s="14" t="s">
        <v>1764</v>
      </c>
      <c r="D384" s="143"/>
      <c r="E384" s="14" t="s">
        <v>1765</v>
      </c>
      <c r="F384" s="143" t="str">
        <f>IF(wskakunin_sekkei7_JIMU_SIKAKU__label="","",wskakunin_sekkei7_JIMU_SIKAKU__label)</f>
        <v/>
      </c>
      <c r="H384" s="15"/>
    </row>
    <row r="385" spans="1:8" ht="15" customHeight="1">
      <c r="A385" s="42"/>
      <c r="B385" s="75" t="s">
        <v>543</v>
      </c>
      <c r="C385" s="14" t="s">
        <v>1766</v>
      </c>
      <c r="D385" s="143"/>
      <c r="E385" s="14" t="s">
        <v>1767</v>
      </c>
      <c r="F385" s="143" t="str">
        <f>IF(wskakunin_sekkei7_JIMU_TOUROKU_KIKAN__label="","",wskakunin_sekkei7_JIMU_TOUROKU_KIKAN__label)</f>
        <v/>
      </c>
      <c r="H385" s="15"/>
    </row>
    <row r="386" spans="1:8" ht="15" customHeight="1">
      <c r="A386" s="42"/>
      <c r="B386" s="75" t="s">
        <v>544</v>
      </c>
      <c r="C386" s="14" t="s">
        <v>1768</v>
      </c>
      <c r="D386" s="214"/>
      <c r="E386" s="14" t="s">
        <v>1769</v>
      </c>
      <c r="F386" s="143" t="str">
        <f>IF(wskakunin_sekkei7_JIMU_NO="","",wskakunin_sekkei7_JIMU_NO)</f>
        <v/>
      </c>
      <c r="H386" s="15"/>
    </row>
    <row r="387" spans="1:8" ht="15" customHeight="1">
      <c r="A387" s="58"/>
      <c r="B387" s="75" t="s">
        <v>24</v>
      </c>
      <c r="C387" s="14" t="s">
        <v>1770</v>
      </c>
      <c r="D387" s="143"/>
      <c r="E387" s="14" t="s">
        <v>1771</v>
      </c>
      <c r="F387" s="143" t="str">
        <f>IF(wskakunin_sekkei7_JIMU_NAME="", "", wskakunin_sekkei7_JIMU_NAME)</f>
        <v/>
      </c>
      <c r="H387" s="15"/>
    </row>
    <row r="388" spans="1:8" ht="15" customHeight="1">
      <c r="A388" s="42"/>
      <c r="B388" s="75" t="s">
        <v>571</v>
      </c>
      <c r="D388" s="32"/>
      <c r="E388" s="14" t="s">
        <v>1772</v>
      </c>
      <c r="F388" s="143" t="str">
        <f>wskakunin_sekkei7_JIMU_NAME&amp;" "&amp;wskakunin_sekkei7_NAME</f>
        <v xml:space="preserve"> </v>
      </c>
      <c r="H388" s="15"/>
    </row>
    <row r="389" spans="1:8" ht="15" customHeight="1">
      <c r="A389" s="58"/>
      <c r="B389" s="75" t="s">
        <v>20</v>
      </c>
      <c r="C389" s="14" t="s">
        <v>1773</v>
      </c>
      <c r="D389" s="214"/>
      <c r="E389" s="14" t="s">
        <v>1774</v>
      </c>
      <c r="F389" s="143" t="str">
        <f>IF(wskakunin_sekkei7_ZIP="", "", wskakunin_sekkei7_ZIP)</f>
        <v/>
      </c>
      <c r="H389" s="15" t="s">
        <v>589</v>
      </c>
    </row>
    <row r="390" spans="1:8" ht="15" customHeight="1">
      <c r="A390" s="58"/>
      <c r="B390" s="75" t="s">
        <v>25</v>
      </c>
      <c r="C390" s="14" t="s">
        <v>1775</v>
      </c>
      <c r="D390" s="143"/>
      <c r="E390" s="14" t="s">
        <v>1776</v>
      </c>
      <c r="F390" s="143" t="str">
        <f>IF(wskakunin_sekkei7__address="", "", wskakunin_sekkei7__address)</f>
        <v/>
      </c>
      <c r="H390" s="15"/>
    </row>
    <row r="391" spans="1:8" ht="15" customHeight="1">
      <c r="A391" s="58"/>
      <c r="B391" s="75" t="s">
        <v>22</v>
      </c>
      <c r="C391" s="14" t="s">
        <v>1777</v>
      </c>
      <c r="D391" s="214"/>
      <c r="E391" s="14" t="s">
        <v>1778</v>
      </c>
      <c r="F391" s="143" t="str">
        <f>IF(wskakunin_sekkei7_TEL="", "", wskakunin_sekkei7_TEL)</f>
        <v/>
      </c>
      <c r="H391" s="15"/>
    </row>
    <row r="392" spans="1:8" ht="15" customHeight="1">
      <c r="A392" s="58"/>
      <c r="B392" s="75" t="s">
        <v>590</v>
      </c>
      <c r="C392" s="14" t="s">
        <v>1779</v>
      </c>
      <c r="D392" s="214"/>
      <c r="E392" s="14" t="s">
        <v>1780</v>
      </c>
      <c r="F392" s="143" t="str">
        <f>IF(wskakunin_sekkei7_DOC="","",wskakunin_sekkei7_DOC)</f>
        <v/>
      </c>
      <c r="H392" s="15"/>
    </row>
    <row r="393" spans="1:8" ht="15" customHeight="1">
      <c r="A393" s="58"/>
      <c r="B393" s="83"/>
      <c r="H393" s="15"/>
    </row>
    <row r="394" spans="1:8" ht="15" customHeight="1">
      <c r="A394" s="1" t="s">
        <v>1900</v>
      </c>
      <c r="B394" s="47"/>
      <c r="H394" s="15"/>
    </row>
    <row r="395" spans="1:8" ht="15" customHeight="1">
      <c r="A395" s="25"/>
      <c r="B395" s="75" t="s">
        <v>540</v>
      </c>
      <c r="C395" s="14" t="s">
        <v>1781</v>
      </c>
      <c r="D395" s="143"/>
      <c r="E395" s="14" t="s">
        <v>1782</v>
      </c>
      <c r="F395" s="143" t="str">
        <f>IF(wskakunin_sekkei8__sikaku="", "", wskakunin_sekkei8__sikaku)</f>
        <v/>
      </c>
      <c r="H395" s="15"/>
    </row>
    <row r="396" spans="1:8" ht="15" customHeight="1">
      <c r="A396" s="30"/>
      <c r="B396" s="75" t="s">
        <v>541</v>
      </c>
      <c r="C396" s="14" t="s">
        <v>1783</v>
      </c>
      <c r="D396" s="143"/>
      <c r="E396" s="14" t="s">
        <v>1784</v>
      </c>
      <c r="F396" s="143" t="str">
        <f>IF(wskakunin_sekkei8_SIKAKU__label="","",wskakunin_sekkei8_SIKAKU__label)</f>
        <v/>
      </c>
      <c r="H396" s="15"/>
    </row>
    <row r="397" spans="1:8" ht="15" customHeight="1">
      <c r="A397" s="30"/>
      <c r="B397" s="75" t="s">
        <v>536</v>
      </c>
      <c r="C397" s="14" t="s">
        <v>1785</v>
      </c>
      <c r="D397" s="143"/>
      <c r="E397" s="14" t="s">
        <v>1786</v>
      </c>
      <c r="F397" s="143" t="str">
        <f>IF(wskakunin_sekkei8_TOUROKU_KIKAN__label="","",wskakunin_sekkei8_TOUROKU_KIKAN__label)</f>
        <v/>
      </c>
      <c r="H397" s="15"/>
    </row>
    <row r="398" spans="1:8" ht="15" customHeight="1">
      <c r="A398" s="30"/>
      <c r="B398" s="75" t="s">
        <v>537</v>
      </c>
      <c r="C398" s="14" t="s">
        <v>1787</v>
      </c>
      <c r="D398" s="214"/>
      <c r="E398" s="14" t="s">
        <v>1788</v>
      </c>
      <c r="F398" s="143" t="str">
        <f>IF(wskakunin_sekkei8_KENTIKUSI_NO="","",wskakunin_sekkei8_KENTIKUSI_NO)</f>
        <v/>
      </c>
      <c r="H398" s="15"/>
    </row>
    <row r="399" spans="1:8" ht="15" customHeight="1">
      <c r="A399" s="42"/>
      <c r="B399" s="75" t="s">
        <v>19</v>
      </c>
      <c r="C399" s="14" t="s">
        <v>1789</v>
      </c>
      <c r="D399" s="143"/>
      <c r="E399" s="14" t="s">
        <v>1790</v>
      </c>
      <c r="F399" s="143" t="str">
        <f>IF(wskakunin_sekkei8_NAME="", "", wskakunin_sekkei8_NAME)</f>
        <v/>
      </c>
      <c r="H399" s="15"/>
    </row>
    <row r="400" spans="1:8" ht="15" customHeight="1">
      <c r="A400" s="42"/>
      <c r="B400" s="75" t="s">
        <v>542</v>
      </c>
      <c r="C400" s="14" t="s">
        <v>1791</v>
      </c>
      <c r="D400" s="143"/>
      <c r="E400" s="14" t="s">
        <v>1792</v>
      </c>
      <c r="F400" s="143" t="str">
        <f>IF(wskakunin_sekkei8_JIMU__sikaku="", "", wskakunin_sekkei8_JIMU__sikaku)</f>
        <v/>
      </c>
      <c r="H400" s="15"/>
    </row>
    <row r="401" spans="1:8" ht="15" customHeight="1">
      <c r="A401" s="42"/>
      <c r="B401" s="75" t="s">
        <v>23</v>
      </c>
      <c r="C401" s="14" t="s">
        <v>1793</v>
      </c>
      <c r="D401" s="143"/>
      <c r="E401" s="14" t="s">
        <v>1794</v>
      </c>
      <c r="F401" s="143" t="str">
        <f>IF(wskakunin_sekkei8_JIMU_SIKAKU__label="","",wskakunin_sekkei8_JIMU_SIKAKU__label)</f>
        <v/>
      </c>
      <c r="H401" s="15"/>
    </row>
    <row r="402" spans="1:8" ht="15" customHeight="1">
      <c r="A402" s="42"/>
      <c r="B402" s="75" t="s">
        <v>543</v>
      </c>
      <c r="C402" s="14" t="s">
        <v>1795</v>
      </c>
      <c r="D402" s="143"/>
      <c r="E402" s="14" t="s">
        <v>1796</v>
      </c>
      <c r="F402" s="143" t="str">
        <f>IF(wskakunin_sekkei8_JIMU_TOUROKU_KIKAN__label="","",wskakunin_sekkei8_JIMU_TOUROKU_KIKAN__label)</f>
        <v/>
      </c>
      <c r="H402" s="15"/>
    </row>
    <row r="403" spans="1:8" ht="15" customHeight="1">
      <c r="A403" s="42"/>
      <c r="B403" s="75" t="s">
        <v>544</v>
      </c>
      <c r="C403" s="14" t="s">
        <v>1797</v>
      </c>
      <c r="D403" s="214"/>
      <c r="E403" s="14" t="s">
        <v>1798</v>
      </c>
      <c r="F403" s="143" t="str">
        <f>IF(wskakunin_sekkei8_JIMU_NO="","",wskakunin_sekkei8_JIMU_NO)</f>
        <v/>
      </c>
      <c r="H403" s="15"/>
    </row>
    <row r="404" spans="1:8" ht="15" customHeight="1">
      <c r="A404" s="58"/>
      <c r="B404" s="75" t="s">
        <v>24</v>
      </c>
      <c r="C404" s="14" t="s">
        <v>1799</v>
      </c>
      <c r="D404" s="143"/>
      <c r="E404" s="14" t="s">
        <v>1800</v>
      </c>
      <c r="F404" s="143" t="str">
        <f>IF(wskakunin_sekkei8_JIMU_NAME="", "", wskakunin_sekkei8_JIMU_NAME)</f>
        <v/>
      </c>
      <c r="H404" s="15"/>
    </row>
    <row r="405" spans="1:8" ht="15" customHeight="1">
      <c r="A405" s="42"/>
      <c r="B405" s="75" t="s">
        <v>571</v>
      </c>
      <c r="D405" s="32"/>
      <c r="E405" s="14" t="s">
        <v>1801</v>
      </c>
      <c r="F405" s="143" t="str">
        <f>wskakunin_sekkei8_JIMU_NAME&amp;" "&amp;wskakunin_sekkei8_NAME</f>
        <v xml:space="preserve"> </v>
      </c>
      <c r="H405" s="15"/>
    </row>
    <row r="406" spans="1:8" ht="15" customHeight="1">
      <c r="A406" s="58"/>
      <c r="B406" s="75" t="s">
        <v>20</v>
      </c>
      <c r="C406" s="14" t="s">
        <v>1802</v>
      </c>
      <c r="D406" s="214"/>
      <c r="E406" s="14" t="s">
        <v>1803</v>
      </c>
      <c r="F406" s="143" t="str">
        <f>IF(wskakunin_sekkei8_ZIP="", "", wskakunin_sekkei8_ZIP)</f>
        <v/>
      </c>
      <c r="H406" s="15" t="s">
        <v>589</v>
      </c>
    </row>
    <row r="407" spans="1:8" ht="15" customHeight="1">
      <c r="A407" s="58"/>
      <c r="B407" s="75" t="s">
        <v>25</v>
      </c>
      <c r="C407" s="14" t="s">
        <v>1804</v>
      </c>
      <c r="D407" s="143"/>
      <c r="E407" s="14" t="s">
        <v>1805</v>
      </c>
      <c r="F407" s="143" t="str">
        <f>IF(wskakunin_sekkei8__address="", "", wskakunin_sekkei8__address)</f>
        <v/>
      </c>
      <c r="H407" s="15"/>
    </row>
    <row r="408" spans="1:8" ht="15" customHeight="1">
      <c r="A408" s="58"/>
      <c r="B408" s="75" t="s">
        <v>22</v>
      </c>
      <c r="C408" s="14" t="s">
        <v>1806</v>
      </c>
      <c r="D408" s="214"/>
      <c r="E408" s="14" t="s">
        <v>1807</v>
      </c>
      <c r="F408" s="143" t="str">
        <f>IF(wskakunin_sekkei8_TEL="", "", wskakunin_sekkei8_TEL)</f>
        <v/>
      </c>
      <c r="H408" s="15"/>
    </row>
    <row r="409" spans="1:8" ht="15" customHeight="1">
      <c r="A409" s="58"/>
      <c r="B409" s="75" t="s">
        <v>590</v>
      </c>
      <c r="C409" s="14" t="s">
        <v>1808</v>
      </c>
      <c r="D409" s="214"/>
      <c r="E409" s="14" t="s">
        <v>1809</v>
      </c>
      <c r="F409" s="143" t="str">
        <f>IF(wskakunin_sekkei8_DOC="","",wskakunin_sekkei8_DOC)</f>
        <v/>
      </c>
      <c r="H409" s="15"/>
    </row>
    <row r="410" spans="1:8" ht="15" customHeight="1">
      <c r="A410" s="58"/>
      <c r="B410" s="83"/>
      <c r="H410" s="15"/>
    </row>
    <row r="411" spans="1:8" ht="15" customHeight="1">
      <c r="A411" s="1" t="s">
        <v>1901</v>
      </c>
      <c r="B411" s="47"/>
      <c r="H411" s="15"/>
    </row>
    <row r="412" spans="1:8" ht="15" customHeight="1">
      <c r="A412" s="25"/>
      <c r="B412" s="75" t="s">
        <v>540</v>
      </c>
      <c r="C412" s="14" t="s">
        <v>1810</v>
      </c>
      <c r="D412" s="143"/>
      <c r="E412" s="14" t="s">
        <v>1811</v>
      </c>
      <c r="F412" s="143" t="str">
        <f>IF(wskakunin_sekkei9__sikaku="", "", wskakunin_sekkei9__sikaku)</f>
        <v/>
      </c>
      <c r="H412" s="15"/>
    </row>
    <row r="413" spans="1:8" ht="15" customHeight="1">
      <c r="A413" s="30"/>
      <c r="B413" s="75" t="s">
        <v>541</v>
      </c>
      <c r="C413" s="14" t="s">
        <v>1812</v>
      </c>
      <c r="D413" s="143"/>
      <c r="E413" s="14" t="s">
        <v>1813</v>
      </c>
      <c r="F413" s="143" t="str">
        <f>IF(wskakunin_sekkei9_SIKAKU__label="","",wskakunin_sekkei9_SIKAKU__label)</f>
        <v/>
      </c>
      <c r="H413" s="15"/>
    </row>
    <row r="414" spans="1:8" ht="15" customHeight="1">
      <c r="A414" s="30"/>
      <c r="B414" s="75" t="s">
        <v>536</v>
      </c>
      <c r="C414" s="14" t="s">
        <v>1814</v>
      </c>
      <c r="D414" s="143"/>
      <c r="E414" s="14" t="s">
        <v>1815</v>
      </c>
      <c r="F414" s="143" t="str">
        <f>IF(wskakunin_sekkei9_TOUROKU_KIKAN__label="","",wskakunin_sekkei9_TOUROKU_KIKAN__label)</f>
        <v/>
      </c>
      <c r="H414" s="15"/>
    </row>
    <row r="415" spans="1:8" ht="15" customHeight="1">
      <c r="A415" s="30"/>
      <c r="B415" s="75" t="s">
        <v>537</v>
      </c>
      <c r="C415" s="14" t="s">
        <v>1816</v>
      </c>
      <c r="D415" s="214"/>
      <c r="E415" s="14" t="s">
        <v>1817</v>
      </c>
      <c r="F415" s="143" t="str">
        <f>IF(wskakunin_sekkei9_KENTIKUSI_NO="","",wskakunin_sekkei9_KENTIKUSI_NO)</f>
        <v/>
      </c>
      <c r="H415" s="15"/>
    </row>
    <row r="416" spans="1:8" ht="15" customHeight="1">
      <c r="A416" s="42"/>
      <c r="B416" s="75" t="s">
        <v>19</v>
      </c>
      <c r="C416" s="14" t="s">
        <v>1818</v>
      </c>
      <c r="D416" s="143"/>
      <c r="E416" s="14" t="s">
        <v>1819</v>
      </c>
      <c r="F416" s="143" t="str">
        <f>IF(wskakunin_sekkei9_NAME="", "", wskakunin_sekkei9_NAME)</f>
        <v/>
      </c>
      <c r="H416" s="15"/>
    </row>
    <row r="417" spans="1:8" ht="15" customHeight="1">
      <c r="A417" s="42"/>
      <c r="B417" s="75" t="s">
        <v>542</v>
      </c>
      <c r="C417" s="14" t="s">
        <v>1820</v>
      </c>
      <c r="D417" s="143"/>
      <c r="E417" s="14" t="s">
        <v>1821</v>
      </c>
      <c r="F417" s="143" t="str">
        <f>IF(wskakunin_sekkei9_JIMU__sikaku="", "", wskakunin_sekkei9_JIMU__sikaku)</f>
        <v/>
      </c>
      <c r="H417" s="15"/>
    </row>
    <row r="418" spans="1:8" ht="15" customHeight="1">
      <c r="A418" s="42"/>
      <c r="B418" s="75" t="s">
        <v>23</v>
      </c>
      <c r="C418" s="14" t="s">
        <v>1822</v>
      </c>
      <c r="D418" s="143"/>
      <c r="E418" s="14" t="s">
        <v>1823</v>
      </c>
      <c r="F418" s="143" t="str">
        <f>IF(wskakunin_sekkei9_JIMU_SIKAKU__label="","",wskakunin_sekkei9_JIMU_SIKAKU__label)</f>
        <v/>
      </c>
      <c r="H418" s="15"/>
    </row>
    <row r="419" spans="1:8" ht="15" customHeight="1">
      <c r="A419" s="42"/>
      <c r="B419" s="75" t="s">
        <v>543</v>
      </c>
      <c r="C419" s="14" t="s">
        <v>1824</v>
      </c>
      <c r="D419" s="143"/>
      <c r="E419" s="14" t="s">
        <v>1825</v>
      </c>
      <c r="F419" s="143" t="str">
        <f>IF(wskakunin_sekkei9_JIMU_TOUROKU_KIKAN__label="","",wskakunin_sekkei9_JIMU_TOUROKU_KIKAN__label)</f>
        <v/>
      </c>
      <c r="H419" s="15"/>
    </row>
    <row r="420" spans="1:8" ht="15" customHeight="1">
      <c r="A420" s="42"/>
      <c r="B420" s="75" t="s">
        <v>544</v>
      </c>
      <c r="C420" s="14" t="s">
        <v>1826</v>
      </c>
      <c r="D420" s="214"/>
      <c r="E420" s="14" t="s">
        <v>1827</v>
      </c>
      <c r="F420" s="143" t="str">
        <f>IF(wskakunin_sekkei9_JIMU_NO="","",wskakunin_sekkei9_JIMU_NO)</f>
        <v/>
      </c>
      <c r="H420" s="15"/>
    </row>
    <row r="421" spans="1:8" ht="15" customHeight="1">
      <c r="A421" s="58"/>
      <c r="B421" s="75" t="s">
        <v>24</v>
      </c>
      <c r="C421" s="14" t="s">
        <v>1828</v>
      </c>
      <c r="D421" s="143"/>
      <c r="E421" s="14" t="s">
        <v>1829</v>
      </c>
      <c r="F421" s="143" t="str">
        <f>IF(wskakunin_sekkei9_JIMU_NAME="", "", wskakunin_sekkei9_JIMU_NAME)</f>
        <v/>
      </c>
      <c r="H421" s="15"/>
    </row>
    <row r="422" spans="1:8" ht="15" customHeight="1">
      <c r="A422" s="42"/>
      <c r="B422" s="75" t="s">
        <v>571</v>
      </c>
      <c r="D422" s="32"/>
      <c r="E422" s="14" t="s">
        <v>1830</v>
      </c>
      <c r="F422" s="143" t="str">
        <f>wskakunin_sekkei9_JIMU_NAME&amp;" "&amp;wskakunin_sekkei9_NAME</f>
        <v xml:space="preserve"> </v>
      </c>
      <c r="H422" s="15"/>
    </row>
    <row r="423" spans="1:8" ht="15" customHeight="1">
      <c r="A423" s="58"/>
      <c r="B423" s="75" t="s">
        <v>20</v>
      </c>
      <c r="C423" s="14" t="s">
        <v>1831</v>
      </c>
      <c r="D423" s="214"/>
      <c r="E423" s="14" t="s">
        <v>1832</v>
      </c>
      <c r="F423" s="143" t="str">
        <f>IF(wskakunin_sekkei9_ZIP="", "", wskakunin_sekkei9_ZIP)</f>
        <v/>
      </c>
      <c r="H423" s="15" t="s">
        <v>589</v>
      </c>
    </row>
    <row r="424" spans="1:8" ht="15" customHeight="1">
      <c r="A424" s="58"/>
      <c r="B424" s="75" t="s">
        <v>25</v>
      </c>
      <c r="C424" s="14" t="s">
        <v>1833</v>
      </c>
      <c r="D424" s="143"/>
      <c r="E424" s="14" t="s">
        <v>1834</v>
      </c>
      <c r="F424" s="143" t="str">
        <f>IF(wskakunin_sekkei9__address="", "", wskakunin_sekkei9__address)</f>
        <v/>
      </c>
      <c r="H424" s="15"/>
    </row>
    <row r="425" spans="1:8" ht="15" customHeight="1">
      <c r="A425" s="58"/>
      <c r="B425" s="75" t="s">
        <v>22</v>
      </c>
      <c r="C425" s="14" t="s">
        <v>1835</v>
      </c>
      <c r="D425" s="214"/>
      <c r="E425" s="14" t="s">
        <v>1836</v>
      </c>
      <c r="F425" s="143" t="str">
        <f>IF(wskakunin_sekkei9_TEL="", "", wskakunin_sekkei9_TEL)</f>
        <v/>
      </c>
      <c r="H425" s="15"/>
    </row>
    <row r="426" spans="1:8" ht="15" customHeight="1">
      <c r="A426" s="58"/>
      <c r="B426" s="75" t="s">
        <v>590</v>
      </c>
      <c r="C426" s="14" t="s">
        <v>1837</v>
      </c>
      <c r="D426" s="214"/>
      <c r="E426" s="14" t="s">
        <v>1838</v>
      </c>
      <c r="F426" s="143" t="str">
        <f>IF(wskakunin_sekkei9_DOC="","",wskakunin_sekkei9_DOC)</f>
        <v/>
      </c>
      <c r="H426" s="15"/>
    </row>
    <row r="427" spans="1:8" ht="15" customHeight="1">
      <c r="A427" s="58"/>
      <c r="B427" s="83"/>
      <c r="H427" s="15"/>
    </row>
    <row r="428" spans="1:8" ht="15" customHeight="1">
      <c r="A428" s="1" t="s">
        <v>1902</v>
      </c>
      <c r="B428" s="47"/>
      <c r="H428" s="15"/>
    </row>
    <row r="429" spans="1:8" ht="15" customHeight="1">
      <c r="A429" s="25"/>
      <c r="B429" s="75" t="s">
        <v>540</v>
      </c>
      <c r="C429" s="14" t="s">
        <v>1839</v>
      </c>
      <c r="D429" s="143"/>
      <c r="E429" s="14" t="s">
        <v>1840</v>
      </c>
      <c r="F429" s="143" t="str">
        <f>IF(wskakunin_sekkei10__sikaku="", "", wskakunin_sekkei10__sikaku)</f>
        <v/>
      </c>
      <c r="H429" s="15"/>
    </row>
    <row r="430" spans="1:8" ht="15" customHeight="1">
      <c r="A430" s="30"/>
      <c r="B430" s="75" t="s">
        <v>541</v>
      </c>
      <c r="C430" s="14" t="s">
        <v>1841</v>
      </c>
      <c r="D430" s="143"/>
      <c r="E430" s="14" t="s">
        <v>1842</v>
      </c>
      <c r="F430" s="143" t="str">
        <f>IF(wskakunin_sekkei10_SIKAKU__label="","",wskakunin_sekkei10_SIKAKU__label)</f>
        <v/>
      </c>
      <c r="H430" s="15"/>
    </row>
    <row r="431" spans="1:8" ht="15" customHeight="1">
      <c r="A431" s="30"/>
      <c r="B431" s="75" t="s">
        <v>536</v>
      </c>
      <c r="C431" s="14" t="s">
        <v>1843</v>
      </c>
      <c r="D431" s="143"/>
      <c r="E431" s="14" t="s">
        <v>1844</v>
      </c>
      <c r="F431" s="143" t="str">
        <f>IF(wskakunin_sekkei10_TOUROKU_KIKAN__label="","",wskakunin_sekkei10_TOUROKU_KIKAN__label)</f>
        <v/>
      </c>
      <c r="H431" s="15"/>
    </row>
    <row r="432" spans="1:8" ht="15" customHeight="1">
      <c r="A432" s="30"/>
      <c r="B432" s="75" t="s">
        <v>537</v>
      </c>
      <c r="C432" s="14" t="s">
        <v>1845</v>
      </c>
      <c r="D432" s="214"/>
      <c r="E432" s="14" t="s">
        <v>1846</v>
      </c>
      <c r="F432" s="143" t="str">
        <f>IF(wskakunin_sekkei10_KENTIKUSI_NO="","",wskakunin_sekkei10_KENTIKUSI_NO)</f>
        <v/>
      </c>
      <c r="H432" s="15"/>
    </row>
    <row r="433" spans="1:8" ht="15" customHeight="1">
      <c r="A433" s="42"/>
      <c r="B433" s="75" t="s">
        <v>19</v>
      </c>
      <c r="C433" s="14" t="s">
        <v>1847</v>
      </c>
      <c r="D433" s="143"/>
      <c r="E433" s="14" t="s">
        <v>1848</v>
      </c>
      <c r="F433" s="143" t="str">
        <f>IF(wskakunin_sekkei10_NAME="", "", wskakunin_sekkei10_NAME)</f>
        <v/>
      </c>
      <c r="H433" s="15"/>
    </row>
    <row r="434" spans="1:8" ht="15" customHeight="1">
      <c r="A434" s="42"/>
      <c r="B434" s="75" t="s">
        <v>542</v>
      </c>
      <c r="C434" s="14" t="s">
        <v>1849</v>
      </c>
      <c r="D434" s="143"/>
      <c r="E434" s="14" t="s">
        <v>1850</v>
      </c>
      <c r="F434" s="143" t="str">
        <f>IF(wskakunin_sekkei10_JIMU__sikaku="", "", wskakunin_sekkei10_JIMU__sikaku)</f>
        <v/>
      </c>
      <c r="H434" s="15"/>
    </row>
    <row r="435" spans="1:8" ht="15" customHeight="1">
      <c r="A435" s="42"/>
      <c r="B435" s="75" t="s">
        <v>23</v>
      </c>
      <c r="C435" s="14" t="s">
        <v>1851</v>
      </c>
      <c r="D435" s="143"/>
      <c r="E435" s="14" t="s">
        <v>1852</v>
      </c>
      <c r="F435" s="143" t="str">
        <f>IF(wskakunin_sekkei10_JIMU_SIKAKU__label="","",wskakunin_sekkei10_JIMU_SIKAKU__label)</f>
        <v/>
      </c>
      <c r="H435" s="15"/>
    </row>
    <row r="436" spans="1:8" ht="15" customHeight="1">
      <c r="A436" s="42"/>
      <c r="B436" s="75" t="s">
        <v>543</v>
      </c>
      <c r="C436" s="14" t="s">
        <v>1853</v>
      </c>
      <c r="D436" s="143"/>
      <c r="E436" s="14" t="s">
        <v>1854</v>
      </c>
      <c r="F436" s="143" t="str">
        <f>IF(wskakunin_sekkei10_JIMU_TOUROKU_KIKAN__label="","",wskakunin_sekkei10_JIMU_TOUROKU_KIKAN__label)</f>
        <v/>
      </c>
      <c r="H436" s="15"/>
    </row>
    <row r="437" spans="1:8" ht="15" customHeight="1">
      <c r="A437" s="42"/>
      <c r="B437" s="75" t="s">
        <v>544</v>
      </c>
      <c r="C437" s="14" t="s">
        <v>1855</v>
      </c>
      <c r="D437" s="214"/>
      <c r="E437" s="14" t="s">
        <v>1856</v>
      </c>
      <c r="F437" s="143" t="str">
        <f>IF(wskakunin_sekkei10_JIMU_NO="","",wskakunin_sekkei10_JIMU_NO)</f>
        <v/>
      </c>
      <c r="H437" s="15"/>
    </row>
    <row r="438" spans="1:8" ht="15" customHeight="1">
      <c r="A438" s="58"/>
      <c r="B438" s="75" t="s">
        <v>24</v>
      </c>
      <c r="C438" s="14" t="s">
        <v>1857</v>
      </c>
      <c r="D438" s="143"/>
      <c r="E438" s="14" t="s">
        <v>1858</v>
      </c>
      <c r="F438" s="143" t="str">
        <f>IF(wskakunin_sekkei10_JIMU_NAME="", "", wskakunin_sekkei10_JIMU_NAME)</f>
        <v/>
      </c>
      <c r="H438" s="15"/>
    </row>
    <row r="439" spans="1:8" ht="15" customHeight="1">
      <c r="A439" s="42"/>
      <c r="B439" s="75" t="s">
        <v>571</v>
      </c>
      <c r="D439" s="32"/>
      <c r="E439" s="14" t="s">
        <v>1859</v>
      </c>
      <c r="F439" s="143" t="str">
        <f>wskakunin_sekkei10_JIMU_NAME&amp;" "&amp;wskakunin_sekkei10_NAME</f>
        <v xml:space="preserve"> </v>
      </c>
      <c r="H439" s="15"/>
    </row>
    <row r="440" spans="1:8" ht="15" customHeight="1">
      <c r="A440" s="58"/>
      <c r="B440" s="75" t="s">
        <v>20</v>
      </c>
      <c r="C440" s="14" t="s">
        <v>1860</v>
      </c>
      <c r="D440" s="214"/>
      <c r="E440" s="14" t="s">
        <v>1861</v>
      </c>
      <c r="F440" s="143" t="str">
        <f>IF(wskakunin_sekkei10_ZIP="", "", wskakunin_sekkei10_ZIP)</f>
        <v/>
      </c>
      <c r="H440" s="15" t="s">
        <v>589</v>
      </c>
    </row>
    <row r="441" spans="1:8" ht="15" customHeight="1">
      <c r="A441" s="58"/>
      <c r="B441" s="75" t="s">
        <v>25</v>
      </c>
      <c r="C441" s="14" t="s">
        <v>1862</v>
      </c>
      <c r="D441" s="143"/>
      <c r="E441" s="14" t="s">
        <v>1863</v>
      </c>
      <c r="F441" s="143" t="str">
        <f>IF(wskakunin_sekkei10__address="", "", wskakunin_sekkei10__address)</f>
        <v/>
      </c>
      <c r="H441" s="15"/>
    </row>
    <row r="442" spans="1:8" ht="15" customHeight="1">
      <c r="A442" s="58"/>
      <c r="B442" s="75" t="s">
        <v>22</v>
      </c>
      <c r="C442" s="14" t="s">
        <v>1864</v>
      </c>
      <c r="D442" s="214"/>
      <c r="E442" s="14" t="s">
        <v>1865</v>
      </c>
      <c r="F442" s="143" t="str">
        <f>IF(wskakunin_sekkei10_TEL="", "", wskakunin_sekkei10_TEL)</f>
        <v/>
      </c>
      <c r="H442" s="15"/>
    </row>
    <row r="443" spans="1:8" ht="15" customHeight="1">
      <c r="A443" s="58"/>
      <c r="B443" s="75" t="s">
        <v>590</v>
      </c>
      <c r="C443" s="14" t="s">
        <v>1866</v>
      </c>
      <c r="D443" s="214"/>
      <c r="E443" s="14" t="s">
        <v>1867</v>
      </c>
      <c r="F443" s="143" t="str">
        <f>IF(wskakunin_sekkei10_DOC="","",wskakunin_sekkei10_DOC)</f>
        <v/>
      </c>
      <c r="H443" s="15"/>
    </row>
    <row r="444" spans="1:8" ht="15" customHeight="1">
      <c r="A444" s="58"/>
      <c r="B444" s="83"/>
      <c r="H444" s="15"/>
    </row>
    <row r="445" spans="1:8" ht="15" customHeight="1">
      <c r="A445" s="1" t="s">
        <v>1897</v>
      </c>
      <c r="B445" s="47"/>
      <c r="H445" s="15"/>
    </row>
    <row r="446" spans="1:8" ht="15" customHeight="1">
      <c r="A446" s="25"/>
      <c r="B446" s="75" t="s">
        <v>540</v>
      </c>
      <c r="C446" s="14" t="s">
        <v>1868</v>
      </c>
      <c r="D446" s="143"/>
      <c r="E446" s="14" t="s">
        <v>1869</v>
      </c>
      <c r="F446" s="143" t="str">
        <f>IF(wskakunin_sekkei11__sikaku="", "", wskakunin_sekkei11__sikaku)</f>
        <v/>
      </c>
      <c r="H446" s="15"/>
    </row>
    <row r="447" spans="1:8" ht="15" customHeight="1">
      <c r="A447" s="30"/>
      <c r="B447" s="75" t="s">
        <v>541</v>
      </c>
      <c r="C447" s="14" t="s">
        <v>1870</v>
      </c>
      <c r="D447" s="143"/>
      <c r="E447" s="14" t="s">
        <v>1871</v>
      </c>
      <c r="F447" s="143" t="str">
        <f>IF(wskakunin_sekkei11_SIKAKU__label="","",wskakunin_sekkei11_SIKAKU__label)</f>
        <v/>
      </c>
      <c r="H447" s="15"/>
    </row>
    <row r="448" spans="1:8" ht="15" customHeight="1">
      <c r="A448" s="30"/>
      <c r="B448" s="75" t="s">
        <v>536</v>
      </c>
      <c r="C448" s="14" t="s">
        <v>1872</v>
      </c>
      <c r="D448" s="143"/>
      <c r="E448" s="14" t="s">
        <v>1873</v>
      </c>
      <c r="F448" s="143" t="str">
        <f>IF(wskakunin_sekkei11_TOUROKU_KIKAN__label="","",wskakunin_sekkei11_TOUROKU_KIKAN__label)</f>
        <v/>
      </c>
      <c r="H448" s="15"/>
    </row>
    <row r="449" spans="1:8" ht="15" customHeight="1">
      <c r="A449" s="30"/>
      <c r="B449" s="75" t="s">
        <v>537</v>
      </c>
      <c r="C449" s="14" t="s">
        <v>1874</v>
      </c>
      <c r="D449" s="214"/>
      <c r="E449" s="14" t="s">
        <v>1875</v>
      </c>
      <c r="F449" s="143" t="str">
        <f>IF(wskakunin_sekkei11_KENTIKUSI_NO="","",wskakunin_sekkei11_KENTIKUSI_NO)</f>
        <v/>
      </c>
      <c r="H449" s="15"/>
    </row>
    <row r="450" spans="1:8" ht="15" customHeight="1">
      <c r="A450" s="42"/>
      <c r="B450" s="75" t="s">
        <v>19</v>
      </c>
      <c r="C450" s="14" t="s">
        <v>1876</v>
      </c>
      <c r="D450" s="143"/>
      <c r="E450" s="14" t="s">
        <v>1877</v>
      </c>
      <c r="F450" s="143" t="str">
        <f>IF(wskakunin_sekkei11_NAME="", "", wskakunin_sekkei11_NAME)</f>
        <v/>
      </c>
      <c r="H450" s="15"/>
    </row>
    <row r="451" spans="1:8" ht="15" customHeight="1">
      <c r="A451" s="42"/>
      <c r="B451" s="75" t="s">
        <v>542</v>
      </c>
      <c r="C451" s="14" t="s">
        <v>1878</v>
      </c>
      <c r="D451" s="143"/>
      <c r="E451" s="14" t="s">
        <v>1879</v>
      </c>
      <c r="F451" s="143" t="str">
        <f>IF(wskakunin_sekkei11_JIMU__sikaku="", "", wskakunin_sekkei11_JIMU__sikaku)</f>
        <v/>
      </c>
      <c r="H451" s="15"/>
    </row>
    <row r="452" spans="1:8" ht="15" customHeight="1">
      <c r="A452" s="42"/>
      <c r="B452" s="75" t="s">
        <v>23</v>
      </c>
      <c r="C452" s="14" t="s">
        <v>1880</v>
      </c>
      <c r="D452" s="143"/>
      <c r="E452" s="14" t="s">
        <v>1881</v>
      </c>
      <c r="F452" s="143" t="str">
        <f>IF(wskakunin_sekkei11_JIMU_SIKAKU__label="","",wskakunin_sekkei11_JIMU_SIKAKU__label)</f>
        <v/>
      </c>
      <c r="H452" s="15"/>
    </row>
    <row r="453" spans="1:8" ht="15" customHeight="1">
      <c r="A453" s="42"/>
      <c r="B453" s="75" t="s">
        <v>543</v>
      </c>
      <c r="C453" s="14" t="s">
        <v>1882</v>
      </c>
      <c r="D453" s="143"/>
      <c r="E453" s="14" t="s">
        <v>1883</v>
      </c>
      <c r="F453" s="143" t="str">
        <f>IF(wskakunin_sekkei11_JIMU_TOUROKU_KIKAN__label="","",wskakunin_sekkei11_JIMU_TOUROKU_KIKAN__label)</f>
        <v/>
      </c>
      <c r="H453" s="15"/>
    </row>
    <row r="454" spans="1:8" ht="15" customHeight="1">
      <c r="A454" s="42"/>
      <c r="B454" s="75" t="s">
        <v>544</v>
      </c>
      <c r="C454" s="14" t="s">
        <v>1884</v>
      </c>
      <c r="D454" s="214"/>
      <c r="E454" s="14" t="s">
        <v>1885</v>
      </c>
      <c r="F454" s="143" t="str">
        <f>IF(wskakunin_sekkei11_JIMU_NO="","",wskakunin_sekkei11_JIMU_NO)</f>
        <v/>
      </c>
      <c r="H454" s="15"/>
    </row>
    <row r="455" spans="1:8" ht="15" customHeight="1">
      <c r="A455" s="58"/>
      <c r="B455" s="75" t="s">
        <v>24</v>
      </c>
      <c r="C455" s="14" t="s">
        <v>1886</v>
      </c>
      <c r="D455" s="143"/>
      <c r="E455" s="14" t="s">
        <v>1887</v>
      </c>
      <c r="F455" s="143" t="str">
        <f>IF(wskakunin_sekkei11_JIMU_NAME="", "", wskakunin_sekkei11_JIMU_NAME)</f>
        <v/>
      </c>
      <c r="H455" s="15"/>
    </row>
    <row r="456" spans="1:8" ht="15" customHeight="1">
      <c r="A456" s="42"/>
      <c r="B456" s="75" t="s">
        <v>571</v>
      </c>
      <c r="D456" s="32"/>
      <c r="E456" s="14" t="s">
        <v>1888</v>
      </c>
      <c r="F456" s="143" t="str">
        <f>wskakunin_sekkei11_JIMU_NAME&amp;" "&amp;wskakunin_sekkei11_NAME</f>
        <v xml:space="preserve"> </v>
      </c>
      <c r="H456" s="15"/>
    </row>
    <row r="457" spans="1:8" ht="15" customHeight="1">
      <c r="A457" s="58"/>
      <c r="B457" s="75" t="s">
        <v>20</v>
      </c>
      <c r="C457" s="14" t="s">
        <v>1889</v>
      </c>
      <c r="D457" s="214"/>
      <c r="E457" s="14" t="s">
        <v>1890</v>
      </c>
      <c r="F457" s="143" t="str">
        <f>IF(wskakunin_sekkei11_ZIP="", "", wskakunin_sekkei11_ZIP)</f>
        <v/>
      </c>
      <c r="H457" s="15" t="s">
        <v>589</v>
      </c>
    </row>
    <row r="458" spans="1:8" ht="15" customHeight="1">
      <c r="A458" s="58"/>
      <c r="B458" s="75" t="s">
        <v>25</v>
      </c>
      <c r="C458" s="14" t="s">
        <v>1891</v>
      </c>
      <c r="D458" s="143"/>
      <c r="E458" s="14" t="s">
        <v>1892</v>
      </c>
      <c r="F458" s="143" t="str">
        <f>IF(wskakunin_sekkei11__address="", "", wskakunin_sekkei11__address)</f>
        <v/>
      </c>
      <c r="H458" s="15"/>
    </row>
    <row r="459" spans="1:8" ht="15" customHeight="1">
      <c r="A459" s="58"/>
      <c r="B459" s="75" t="s">
        <v>22</v>
      </c>
      <c r="C459" s="14" t="s">
        <v>1893</v>
      </c>
      <c r="D459" s="214"/>
      <c r="E459" s="14" t="s">
        <v>1894</v>
      </c>
      <c r="F459" s="143" t="str">
        <f>IF(wskakunin_sekkei11_TEL="", "", wskakunin_sekkei11_TEL)</f>
        <v/>
      </c>
      <c r="H459" s="15"/>
    </row>
    <row r="460" spans="1:8" ht="15" customHeight="1">
      <c r="A460" s="58"/>
      <c r="B460" s="75" t="s">
        <v>590</v>
      </c>
      <c r="C460" s="14" t="s">
        <v>1895</v>
      </c>
      <c r="D460" s="214"/>
      <c r="E460" s="14" t="s">
        <v>1896</v>
      </c>
      <c r="F460" s="143" t="str">
        <f>IF(wskakunin_sekkei11_DOC="","",wskakunin_sekkei11_DOC)</f>
        <v/>
      </c>
      <c r="H460" s="15"/>
    </row>
    <row r="461" spans="1:8" ht="15" customHeight="1">
      <c r="A461" s="58"/>
      <c r="B461" s="83"/>
      <c r="G461" s="15"/>
      <c r="H461" s="15"/>
    </row>
    <row r="462" spans="1:8" ht="15" customHeight="1">
      <c r="A462" s="1" t="s">
        <v>2224</v>
      </c>
      <c r="B462" s="47"/>
      <c r="H462" s="15"/>
    </row>
    <row r="463" spans="1:8" ht="15" customHeight="1">
      <c r="A463" s="25"/>
      <c r="B463" s="75" t="s">
        <v>540</v>
      </c>
      <c r="C463" s="14" t="s">
        <v>2195</v>
      </c>
      <c r="D463" s="143"/>
      <c r="E463" s="14" t="s">
        <v>2196</v>
      </c>
      <c r="F463" s="143" t="str">
        <f>IF(wskakunin_sekkei12__sikaku="", "", wskakunin_sekkei12__sikaku)</f>
        <v/>
      </c>
      <c r="H463" s="15"/>
    </row>
    <row r="464" spans="1:8" ht="15" customHeight="1">
      <c r="A464" s="30"/>
      <c r="B464" s="75" t="s">
        <v>541</v>
      </c>
      <c r="C464" s="14" t="s">
        <v>2197</v>
      </c>
      <c r="D464" s="143"/>
      <c r="E464" s="14" t="s">
        <v>2198</v>
      </c>
      <c r="F464" s="143" t="str">
        <f>IF(wskakunin_sekkei12_SIKAKU__label="","",wskakunin_sekkei12_SIKAKU__label)</f>
        <v/>
      </c>
      <c r="H464" s="15"/>
    </row>
    <row r="465" spans="1:8" ht="15" customHeight="1">
      <c r="A465" s="30"/>
      <c r="B465" s="75" t="s">
        <v>536</v>
      </c>
      <c r="C465" s="14" t="s">
        <v>2199</v>
      </c>
      <c r="D465" s="143"/>
      <c r="E465" s="14" t="s">
        <v>2200</v>
      </c>
      <c r="F465" s="143" t="str">
        <f>IF(wskakunin_sekkei12_TOUROKU_KIKAN__label="","",wskakunin_sekkei12_TOUROKU_KIKAN__label)</f>
        <v/>
      </c>
      <c r="H465" s="15"/>
    </row>
    <row r="466" spans="1:8" ht="15" customHeight="1">
      <c r="A466" s="30"/>
      <c r="B466" s="75" t="s">
        <v>537</v>
      </c>
      <c r="C466" s="14" t="s">
        <v>2201</v>
      </c>
      <c r="D466" s="214"/>
      <c r="E466" s="14" t="s">
        <v>2202</v>
      </c>
      <c r="F466" s="143" t="str">
        <f>IF(wskakunin_sekkei12_KENTIKUSI_NO="","",wskakunin_sekkei12_KENTIKUSI_NO)</f>
        <v/>
      </c>
      <c r="H466" s="15"/>
    </row>
    <row r="467" spans="1:8" ht="15" customHeight="1">
      <c r="A467" s="42"/>
      <c r="B467" s="75" t="s">
        <v>19</v>
      </c>
      <c r="C467" s="14" t="s">
        <v>2203</v>
      </c>
      <c r="D467" s="143"/>
      <c r="E467" s="14" t="s">
        <v>2204</v>
      </c>
      <c r="F467" s="143" t="str">
        <f>IF(wskakunin_sekkei12_NAME="", "", wskakunin_sekkei12_NAME)</f>
        <v/>
      </c>
      <c r="H467" s="15"/>
    </row>
    <row r="468" spans="1:8" ht="15" customHeight="1">
      <c r="A468" s="42"/>
      <c r="B468" s="75" t="s">
        <v>542</v>
      </c>
      <c r="C468" s="14" t="s">
        <v>2205</v>
      </c>
      <c r="D468" s="143"/>
      <c r="E468" s="14" t="s">
        <v>2206</v>
      </c>
      <c r="F468" s="143" t="str">
        <f>IF(wskakunin_sekkei12_JIMU__sikaku="", "", wskakunin_sekkei12_JIMU__sikaku)</f>
        <v/>
      </c>
      <c r="H468" s="15"/>
    </row>
    <row r="469" spans="1:8" ht="15" customHeight="1">
      <c r="A469" s="42"/>
      <c r="B469" s="75" t="s">
        <v>23</v>
      </c>
      <c r="C469" s="14" t="s">
        <v>2207</v>
      </c>
      <c r="D469" s="143"/>
      <c r="E469" s="14" t="s">
        <v>2208</v>
      </c>
      <c r="F469" s="143" t="str">
        <f>IF(wskakunin_sekkei12_JIMU_SIKAKU__label="","",wskakunin_sekkei12_JIMU_SIKAKU__label)</f>
        <v/>
      </c>
      <c r="H469" s="15"/>
    </row>
    <row r="470" spans="1:8" ht="15" customHeight="1">
      <c r="A470" s="42"/>
      <c r="B470" s="75" t="s">
        <v>543</v>
      </c>
      <c r="C470" s="14" t="s">
        <v>2209</v>
      </c>
      <c r="D470" s="143"/>
      <c r="E470" s="14" t="s">
        <v>2210</v>
      </c>
      <c r="F470" s="143" t="str">
        <f>IF(wskakunin_sekkei12_JIMU_TOUROKU_KIKAN__label="","",wskakunin_sekkei12_JIMU_TOUROKU_KIKAN__label)</f>
        <v/>
      </c>
      <c r="H470" s="15"/>
    </row>
    <row r="471" spans="1:8" ht="15" customHeight="1">
      <c r="A471" s="42"/>
      <c r="B471" s="75" t="s">
        <v>544</v>
      </c>
      <c r="C471" s="14" t="s">
        <v>2211</v>
      </c>
      <c r="D471" s="214"/>
      <c r="E471" s="14" t="s">
        <v>2212</v>
      </c>
      <c r="F471" s="143" t="str">
        <f>IF(wskakunin_sekkei12_JIMU_NO="","",wskakunin_sekkei12_JIMU_NO)</f>
        <v/>
      </c>
      <c r="H471" s="15"/>
    </row>
    <row r="472" spans="1:8" ht="15" customHeight="1">
      <c r="A472" s="58"/>
      <c r="B472" s="75" t="s">
        <v>24</v>
      </c>
      <c r="C472" s="14" t="s">
        <v>2213</v>
      </c>
      <c r="D472" s="143"/>
      <c r="E472" s="14" t="s">
        <v>2214</v>
      </c>
      <c r="F472" s="143" t="str">
        <f>IF(wskakunin_sekkei12_JIMU_NAME="", "", wskakunin_sekkei12_JIMU_NAME)</f>
        <v/>
      </c>
      <c r="H472" s="15"/>
    </row>
    <row r="473" spans="1:8" ht="15" customHeight="1">
      <c r="A473" s="42"/>
      <c r="B473" s="75" t="s">
        <v>571</v>
      </c>
      <c r="D473" s="32"/>
      <c r="E473" s="14" t="s">
        <v>2215</v>
      </c>
      <c r="F473" s="143" t="str">
        <f>wskakunin_sekkei12_JIMU_NAME&amp;" "&amp;wskakunin_sekkei12_NAME</f>
        <v xml:space="preserve"> </v>
      </c>
      <c r="H473" s="15"/>
    </row>
    <row r="474" spans="1:8" ht="15" customHeight="1">
      <c r="A474" s="58"/>
      <c r="B474" s="75" t="s">
        <v>20</v>
      </c>
      <c r="C474" s="14" t="s">
        <v>2216</v>
      </c>
      <c r="D474" s="214"/>
      <c r="E474" s="14" t="s">
        <v>2217</v>
      </c>
      <c r="F474" s="143" t="str">
        <f>IF(wskakunin_sekkei12_ZIP="", "", wskakunin_sekkei12_ZIP)</f>
        <v/>
      </c>
      <c r="H474" s="15" t="s">
        <v>589</v>
      </c>
    </row>
    <row r="475" spans="1:8" ht="15" customHeight="1">
      <c r="A475" s="58"/>
      <c r="B475" s="75" t="s">
        <v>25</v>
      </c>
      <c r="C475" s="14" t="s">
        <v>2218</v>
      </c>
      <c r="D475" s="143"/>
      <c r="E475" s="14" t="s">
        <v>2219</v>
      </c>
      <c r="F475" s="143" t="str">
        <f>IF(wskakunin_sekkei12__address="", "", wskakunin_sekkei12__address)</f>
        <v/>
      </c>
      <c r="H475" s="15"/>
    </row>
    <row r="476" spans="1:8" ht="15" customHeight="1">
      <c r="A476" s="58"/>
      <c r="B476" s="75" t="s">
        <v>22</v>
      </c>
      <c r="C476" s="14" t="s">
        <v>2220</v>
      </c>
      <c r="D476" s="214"/>
      <c r="E476" s="14" t="s">
        <v>2221</v>
      </c>
      <c r="F476" s="143" t="str">
        <f>IF(wskakunin_sekkei12_TEL="", "", wskakunin_sekkei12_TEL)</f>
        <v/>
      </c>
      <c r="H476" s="15"/>
    </row>
    <row r="477" spans="1:8" ht="15" customHeight="1">
      <c r="A477" s="58"/>
      <c r="B477" s="75" t="s">
        <v>590</v>
      </c>
      <c r="C477" s="14" t="s">
        <v>2222</v>
      </c>
      <c r="D477" s="214"/>
      <c r="E477" s="14" t="s">
        <v>2223</v>
      </c>
      <c r="F477" s="143" t="str">
        <f>IF(wskakunin_sekkei12_DOC="","",wskakunin_sekkei12_DOC)</f>
        <v/>
      </c>
      <c r="H477" s="15"/>
    </row>
    <row r="478" spans="1:8" ht="15" customHeight="1">
      <c r="A478" s="58"/>
      <c r="B478" s="83"/>
      <c r="G478" s="15"/>
      <c r="H478" s="15"/>
    </row>
    <row r="479" spans="1:8" s="18" customFormat="1" ht="15" customHeight="1">
      <c r="A479" s="79" t="s">
        <v>748</v>
      </c>
      <c r="B479" s="99"/>
    </row>
    <row r="480" spans="1:8" s="18" customFormat="1" ht="15" customHeight="1">
      <c r="A480" s="40" t="s">
        <v>749</v>
      </c>
      <c r="B480" s="100"/>
    </row>
    <row r="481" spans="1:6" s="18" customFormat="1" ht="15" customHeight="1">
      <c r="A481" s="101"/>
      <c r="B481" s="72" t="s">
        <v>597</v>
      </c>
      <c r="C481" s="31" t="s">
        <v>750</v>
      </c>
      <c r="D481" s="223"/>
      <c r="E481" s="31" t="s">
        <v>751</v>
      </c>
      <c r="F481" s="225" t="str">
        <f>IF(wskakunin_20kouzou101_NAME="","",wskakunin_20kouzou101_NAME)</f>
        <v/>
      </c>
    </row>
    <row r="482" spans="1:6" s="18" customFormat="1" ht="15" customHeight="1">
      <c r="A482" s="101"/>
      <c r="B482" s="72" t="s">
        <v>595</v>
      </c>
      <c r="C482" s="31" t="s">
        <v>2492</v>
      </c>
      <c r="D482" s="223"/>
      <c r="E482" s="31" t="s">
        <v>2493</v>
      </c>
      <c r="F482" s="226" t="str">
        <f>IF(wskakunin_20kouzou101_KOUZOUSEKKEI_KOUFU_NO="","",wskakunin_20kouzou101_KOUZOUSEKKEI_KOUFU_NO)</f>
        <v/>
      </c>
    </row>
    <row r="483" spans="1:6" s="18" customFormat="1" ht="15" customHeight="1">
      <c r="A483" s="101"/>
      <c r="B483" s="72" t="s">
        <v>597</v>
      </c>
      <c r="C483" s="31" t="s">
        <v>2525</v>
      </c>
      <c r="D483" s="223"/>
      <c r="E483" s="31" t="s">
        <v>2526</v>
      </c>
      <c r="F483" s="226" t="str">
        <f>IF(wskakunin_20kouzou102_NAME="","",wskakunin_20kouzou102_NAME)</f>
        <v/>
      </c>
    </row>
    <row r="484" spans="1:6" s="18" customFormat="1" ht="15" customHeight="1">
      <c r="A484" s="101"/>
      <c r="B484" s="72" t="s">
        <v>595</v>
      </c>
      <c r="C484" s="31" t="s">
        <v>2527</v>
      </c>
      <c r="D484" s="223"/>
      <c r="E484" s="31" t="s">
        <v>2528</v>
      </c>
      <c r="F484" s="226" t="str">
        <f>IF(wskakunin_20kouzou102_KOUZOUSEKKEI_KOUFU_NO="","",wskakunin_20kouzou102_KOUZOUSEKKEI_KOUFU_NO)</f>
        <v/>
      </c>
    </row>
    <row r="485" spans="1:6" s="18" customFormat="1" ht="15" customHeight="1">
      <c r="A485" s="101"/>
      <c r="B485" s="72" t="s">
        <v>597</v>
      </c>
      <c r="C485" s="31" t="s">
        <v>2529</v>
      </c>
      <c r="D485" s="223"/>
      <c r="E485" s="31" t="s">
        <v>2530</v>
      </c>
      <c r="F485" s="226" t="str">
        <f>IF(wskakunin_20kouzou103_NAME="","",wskakunin_20kouzou103_NAME)</f>
        <v/>
      </c>
    </row>
    <row r="486" spans="1:6" s="18" customFormat="1" ht="15" customHeight="1">
      <c r="A486" s="101"/>
      <c r="B486" s="72" t="s">
        <v>595</v>
      </c>
      <c r="C486" s="31" t="s">
        <v>2531</v>
      </c>
      <c r="D486" s="223"/>
      <c r="E486" s="31" t="s">
        <v>2532</v>
      </c>
      <c r="F486" s="226" t="str">
        <f>IF(wskakunin_20kouzou103_KOUZOUSEKKEI_KOUFU_NO="","",wskakunin_20kouzou103_KOUZOUSEKKEI_KOUFU_NO)</f>
        <v/>
      </c>
    </row>
    <row r="487" spans="1:6" s="18" customFormat="1" ht="15" customHeight="1">
      <c r="A487" s="101"/>
      <c r="B487" s="72" t="s">
        <v>597</v>
      </c>
      <c r="C487" s="31" t="s">
        <v>2533</v>
      </c>
      <c r="D487" s="223"/>
      <c r="E487" s="31" t="s">
        <v>2534</v>
      </c>
      <c r="F487" s="226" t="str">
        <f>IF(wskakunin_20kouzou104_NAME="","",wskakunin_20kouzou104_NAME)</f>
        <v/>
      </c>
    </row>
    <row r="488" spans="1:6" s="18" customFormat="1" ht="15" customHeight="1">
      <c r="A488" s="101"/>
      <c r="B488" s="72" t="s">
        <v>595</v>
      </c>
      <c r="C488" s="31" t="s">
        <v>2535</v>
      </c>
      <c r="D488" s="223"/>
      <c r="E488" s="31" t="s">
        <v>2536</v>
      </c>
      <c r="F488" s="226" t="str">
        <f>IF(wskakunin_20kouzou104_KOUZOUSEKKEI_KOUFU_NO="","",wskakunin_20kouzou104_KOUZOUSEKKEI_KOUFU_NO)</f>
        <v/>
      </c>
    </row>
    <row r="489" spans="1:6" s="18" customFormat="1" ht="15" customHeight="1">
      <c r="A489" s="101"/>
      <c r="B489" s="72" t="s">
        <v>597</v>
      </c>
      <c r="C489" s="31" t="s">
        <v>2537</v>
      </c>
      <c r="D489" s="224"/>
      <c r="E489" s="31" t="s">
        <v>2538</v>
      </c>
      <c r="F489" s="226" t="str">
        <f>IF(wskakunin_20kouzou105_NAME="","",wskakunin_20kouzou105_NAME)</f>
        <v/>
      </c>
    </row>
    <row r="490" spans="1:6" s="18" customFormat="1" ht="15" customHeight="1">
      <c r="A490" s="101"/>
      <c r="B490" s="72" t="s">
        <v>595</v>
      </c>
      <c r="C490" s="31" t="s">
        <v>2539</v>
      </c>
      <c r="D490" s="223"/>
      <c r="E490" s="31" t="s">
        <v>2540</v>
      </c>
      <c r="F490" s="226" t="str">
        <f>IF(wskakunin_20kouzou105_KOUZOUSEKKEI_KOUFU_NO="","",wskakunin_20kouzou105_KOUZOUSEKKEI_KOUFU_NO)</f>
        <v/>
      </c>
    </row>
    <row r="491" spans="1:6" ht="15" customHeight="1">
      <c r="A491" s="48"/>
      <c r="B491" s="72"/>
    </row>
    <row r="492" spans="1:6" s="18" customFormat="1" ht="15" customHeight="1">
      <c r="A492" s="40" t="s">
        <v>752</v>
      </c>
      <c r="B492" s="100"/>
      <c r="C492" s="193"/>
      <c r="D492" s="194"/>
      <c r="E492" s="193"/>
      <c r="F492" s="193"/>
    </row>
    <row r="493" spans="1:6" s="18" customFormat="1" ht="15" customHeight="1">
      <c r="A493" s="101"/>
      <c r="B493" s="72" t="s">
        <v>597</v>
      </c>
      <c r="C493" s="31" t="s">
        <v>753</v>
      </c>
      <c r="D493" s="223"/>
      <c r="E493" s="31" t="s">
        <v>754</v>
      </c>
      <c r="F493" s="225" t="str">
        <f>IF(wskakunin_20kouzou301_NAME="","",wskakunin_20kouzou301_NAME)</f>
        <v/>
      </c>
    </row>
    <row r="494" spans="1:6" s="18" customFormat="1" ht="15" customHeight="1">
      <c r="A494" s="101"/>
      <c r="B494" s="72" t="s">
        <v>595</v>
      </c>
      <c r="C494" s="193" t="s">
        <v>2494</v>
      </c>
      <c r="D494" s="223"/>
      <c r="E494" s="193" t="s">
        <v>2495</v>
      </c>
      <c r="F494" s="225" t="str">
        <f>IF(wskakunin_20kouzou301_KOUZOUSEKKEI_KOUFU_NO="","",wskakunin_20kouzou301_KOUZOUSEKKEI_KOUFU_NO)</f>
        <v/>
      </c>
    </row>
    <row r="495" spans="1:6" s="18" customFormat="1" ht="15" customHeight="1">
      <c r="A495" s="101"/>
      <c r="B495" s="72" t="s">
        <v>597</v>
      </c>
      <c r="C495" s="193" t="s">
        <v>2541</v>
      </c>
      <c r="D495" s="223"/>
      <c r="E495" s="193" t="s">
        <v>2542</v>
      </c>
      <c r="F495" s="225" t="str">
        <f>IF(wskakunin_20kouzou302_NAME="","",wskakunin_20kouzou302_NAME)</f>
        <v/>
      </c>
    </row>
    <row r="496" spans="1:6" s="18" customFormat="1" ht="15" customHeight="1">
      <c r="A496" s="101"/>
      <c r="B496" s="72" t="s">
        <v>595</v>
      </c>
      <c r="C496" s="193" t="s">
        <v>2543</v>
      </c>
      <c r="D496" s="223"/>
      <c r="E496" s="193" t="s">
        <v>2544</v>
      </c>
      <c r="F496" s="225" t="str">
        <f>IF(wskakunin_20kouzou302_KOUZOUSEKKEI_KOUFU_NO="","",wskakunin_20kouzou302_KOUZOUSEKKEI_KOUFU_NO)</f>
        <v/>
      </c>
    </row>
    <row r="497" spans="1:6" s="18" customFormat="1" ht="15" customHeight="1">
      <c r="A497" s="101"/>
      <c r="B497" s="72" t="s">
        <v>597</v>
      </c>
      <c r="C497" s="193" t="s">
        <v>2545</v>
      </c>
      <c r="D497" s="223"/>
      <c r="E497" s="193" t="s">
        <v>2546</v>
      </c>
      <c r="F497" s="225" t="str">
        <f>IF(wskakunin_20kouzou303_NAME="","",wskakunin_20kouzou303_NAME)</f>
        <v/>
      </c>
    </row>
    <row r="498" spans="1:6" s="18" customFormat="1" ht="15" customHeight="1">
      <c r="A498" s="101"/>
      <c r="B498" s="72" t="s">
        <v>595</v>
      </c>
      <c r="C498" s="193" t="s">
        <v>2547</v>
      </c>
      <c r="D498" s="223"/>
      <c r="E498" s="193" t="s">
        <v>2548</v>
      </c>
      <c r="F498" s="225" t="str">
        <f>IF(wskakunin_20kouzou303_KOUZOUSEKKEI_KOUFU_NO="","",wskakunin_20kouzou303_KOUZOUSEKKEI_KOUFU_NO)</f>
        <v/>
      </c>
    </row>
    <row r="499" spans="1:6" s="18" customFormat="1" ht="15" customHeight="1">
      <c r="A499" s="101"/>
      <c r="B499" s="72" t="s">
        <v>597</v>
      </c>
      <c r="C499" s="193" t="s">
        <v>2549</v>
      </c>
      <c r="D499" s="223"/>
      <c r="E499" s="193" t="s">
        <v>2550</v>
      </c>
      <c r="F499" s="225" t="str">
        <f>IF(wskakunin_20kouzou304_NAME="","",wskakunin_20kouzou304_NAME)</f>
        <v/>
      </c>
    </row>
    <row r="500" spans="1:6" s="18" customFormat="1" ht="15" customHeight="1">
      <c r="A500" s="101"/>
      <c r="B500" s="72" t="s">
        <v>595</v>
      </c>
      <c r="C500" s="193" t="s">
        <v>2551</v>
      </c>
      <c r="D500" s="223"/>
      <c r="E500" s="193" t="s">
        <v>2552</v>
      </c>
      <c r="F500" s="225" t="str">
        <f>IF(wskakunin_20kouzou304_KOUZOUSEKKEI_KOUFU_NO="","",wskakunin_20kouzou304_KOUZOUSEKKEI_KOUFU_NO)</f>
        <v/>
      </c>
    </row>
    <row r="501" spans="1:6" s="18" customFormat="1" ht="15" customHeight="1">
      <c r="A501" s="101"/>
      <c r="B501" s="72" t="s">
        <v>597</v>
      </c>
      <c r="C501" s="193" t="s">
        <v>2553</v>
      </c>
      <c r="D501" s="223"/>
      <c r="E501" s="193" t="s">
        <v>2554</v>
      </c>
      <c r="F501" s="225" t="str">
        <f>IF(wskakunin_20kouzou305_NAME="","",wskakunin_20kouzou305_NAME)</f>
        <v/>
      </c>
    </row>
    <row r="502" spans="1:6" s="18" customFormat="1" ht="15" customHeight="1">
      <c r="A502" s="101"/>
      <c r="B502" s="72" t="s">
        <v>595</v>
      </c>
      <c r="C502" s="193" t="s">
        <v>2555</v>
      </c>
      <c r="D502" s="223"/>
      <c r="E502" s="193" t="s">
        <v>2556</v>
      </c>
      <c r="F502" s="225" t="str">
        <f>IF(wskakunin_20kouzou305_KOUZOUSEKKEI_KOUFU_NO="","",wskakunin_20kouzou305_KOUZOUSEKKEI_KOUFU_NO)</f>
        <v/>
      </c>
    </row>
    <row r="503" spans="1:6" ht="15" customHeight="1">
      <c r="A503" s="48"/>
      <c r="B503" s="72"/>
    </row>
    <row r="504" spans="1:6" s="18" customFormat="1" ht="15" customHeight="1">
      <c r="A504" s="40" t="s">
        <v>755</v>
      </c>
      <c r="B504" s="100"/>
      <c r="C504" s="193"/>
      <c r="D504" s="194"/>
      <c r="E504" s="193"/>
      <c r="F504" s="193"/>
    </row>
    <row r="505" spans="1:6" s="18" customFormat="1" ht="15" customHeight="1">
      <c r="A505" s="101"/>
      <c r="B505" s="72" t="s">
        <v>597</v>
      </c>
      <c r="C505" s="31" t="s">
        <v>756</v>
      </c>
      <c r="D505" s="223"/>
      <c r="E505" s="31" t="s">
        <v>757</v>
      </c>
      <c r="F505" s="226" t="str">
        <f>IF(wskakunin_20setubi101_NAME="","",wskakunin_20setubi101_NAME)</f>
        <v/>
      </c>
    </row>
    <row r="506" spans="1:6" s="18" customFormat="1" ht="15" customHeight="1">
      <c r="A506" s="101"/>
      <c r="B506" s="72" t="s">
        <v>758</v>
      </c>
      <c r="C506" s="31" t="s">
        <v>2496</v>
      </c>
      <c r="D506" s="223"/>
      <c r="E506" s="31" t="s">
        <v>2497</v>
      </c>
      <c r="F506" s="226" t="str">
        <f>IF(wskakunin_20setubi101_SETUBISEKKEI_KOUFU_NO="","",wskakunin_20setubi101_SETUBISEKKEI_KOUFU_NO)</f>
        <v/>
      </c>
    </row>
    <row r="507" spans="1:6" s="18" customFormat="1" ht="15" customHeight="1">
      <c r="A507" s="101"/>
      <c r="B507" s="72" t="s">
        <v>597</v>
      </c>
      <c r="C507" s="31" t="s">
        <v>759</v>
      </c>
      <c r="D507" s="223"/>
      <c r="E507" s="31" t="s">
        <v>760</v>
      </c>
      <c r="F507" s="226" t="str">
        <f>IF(wskakunin_20setubi102_NAME="","",wskakunin_20setubi102_NAME)</f>
        <v/>
      </c>
    </row>
    <row r="508" spans="1:6" s="18" customFormat="1" ht="15" customHeight="1">
      <c r="A508" s="101"/>
      <c r="B508" s="72" t="s">
        <v>758</v>
      </c>
      <c r="C508" s="31" t="s">
        <v>2498</v>
      </c>
      <c r="D508" s="223"/>
      <c r="E508" s="31" t="s">
        <v>2499</v>
      </c>
      <c r="F508" s="226" t="str">
        <f>IF(wskakunin_20setubi102_SETUBISEKKEI_KOUFU_NO="","",wskakunin_20setubi102_SETUBISEKKEI_KOUFU_NO)</f>
        <v/>
      </c>
    </row>
    <row r="509" spans="1:6" s="18" customFormat="1" ht="15" customHeight="1">
      <c r="A509" s="101"/>
      <c r="B509" s="72" t="s">
        <v>597</v>
      </c>
      <c r="C509" s="31" t="s">
        <v>761</v>
      </c>
      <c r="D509" s="223"/>
      <c r="E509" s="31" t="s">
        <v>762</v>
      </c>
      <c r="F509" s="226" t="str">
        <f>IF(wskakunin_20setubi103_NAME="","",wskakunin_20setubi103_NAME)</f>
        <v/>
      </c>
    </row>
    <row r="510" spans="1:6" s="18" customFormat="1" ht="15" customHeight="1">
      <c r="A510" s="101"/>
      <c r="B510" s="72" t="s">
        <v>758</v>
      </c>
      <c r="C510" s="31" t="s">
        <v>2500</v>
      </c>
      <c r="D510" s="223"/>
      <c r="E510" s="31" t="s">
        <v>2501</v>
      </c>
      <c r="F510" s="226" t="str">
        <f>IF(wskakunin_20setubi103_SETUBISEKKEI_KOUFU_NO="","",wskakunin_20setubi103_SETUBISEKKEI_KOUFU_NO)</f>
        <v/>
      </c>
    </row>
    <row r="511" spans="1:6" s="18" customFormat="1" ht="15" customHeight="1">
      <c r="A511" s="101"/>
      <c r="B511" s="72" t="s">
        <v>597</v>
      </c>
      <c r="C511" s="31" t="s">
        <v>2557</v>
      </c>
      <c r="D511" s="223"/>
      <c r="E511" s="31" t="s">
        <v>2558</v>
      </c>
      <c r="F511" s="226" t="str">
        <f>IF(wskakunin_20setubi104_NAME="","",wskakunin_20setubi104_NAME)</f>
        <v/>
      </c>
    </row>
    <row r="512" spans="1:6" s="18" customFormat="1" ht="15" customHeight="1">
      <c r="A512" s="101"/>
      <c r="B512" s="72" t="s">
        <v>758</v>
      </c>
      <c r="C512" s="31" t="s">
        <v>2559</v>
      </c>
      <c r="D512" s="223"/>
      <c r="E512" s="31" t="s">
        <v>2560</v>
      </c>
      <c r="F512" s="226" t="str">
        <f>IF(wskakunin_20setubi104_SETUBISEKKEI_KOUFU_NO="","",wskakunin_20setubi104_SETUBISEKKEI_KOUFU_NO)</f>
        <v/>
      </c>
    </row>
    <row r="513" spans="1:6" s="18" customFormat="1" ht="15" customHeight="1">
      <c r="A513" s="101"/>
      <c r="B513" s="72" t="s">
        <v>597</v>
      </c>
      <c r="C513" s="31" t="s">
        <v>2561</v>
      </c>
      <c r="D513" s="223"/>
      <c r="E513" s="31" t="s">
        <v>2562</v>
      </c>
      <c r="F513" s="226" t="str">
        <f>IF(wskakunin_20setubi105_NAME="","",wskakunin_20setubi105_NAME)</f>
        <v/>
      </c>
    </row>
    <row r="514" spans="1:6" s="18" customFormat="1" ht="15" customHeight="1">
      <c r="A514" s="101"/>
      <c r="B514" s="72" t="s">
        <v>758</v>
      </c>
      <c r="C514" s="31" t="s">
        <v>2563</v>
      </c>
      <c r="D514" s="223"/>
      <c r="E514" s="31" t="s">
        <v>2564</v>
      </c>
      <c r="F514" s="226" t="str">
        <f>IF(wskakunin_20setubi105_SETUBISEKKEI_KOUFU_NO="","",wskakunin_20setubi105_SETUBISEKKEI_KOUFU_NO)</f>
        <v/>
      </c>
    </row>
    <row r="515" spans="1:6" ht="15" customHeight="1">
      <c r="A515" s="48"/>
      <c r="B515" s="72"/>
    </row>
    <row r="516" spans="1:6" s="18" customFormat="1" ht="15" customHeight="1">
      <c r="A516" s="40" t="s">
        <v>763</v>
      </c>
      <c r="B516" s="100"/>
      <c r="C516" s="193"/>
      <c r="D516" s="194"/>
      <c r="E516" s="193"/>
      <c r="F516" s="193"/>
    </row>
    <row r="517" spans="1:6" s="18" customFormat="1" ht="15" customHeight="1">
      <c r="A517" s="101"/>
      <c r="B517" s="72" t="s">
        <v>597</v>
      </c>
      <c r="C517" s="31" t="s">
        <v>764</v>
      </c>
      <c r="D517" s="223"/>
      <c r="E517" s="31" t="s">
        <v>765</v>
      </c>
      <c r="F517" s="226" t="str">
        <f>IF(wskakunin_20setubi301_NAME="","",wskakunin_20setubi301_NAME)</f>
        <v/>
      </c>
    </row>
    <row r="518" spans="1:6" s="18" customFormat="1" ht="15" customHeight="1">
      <c r="A518" s="101"/>
      <c r="B518" s="72" t="s">
        <v>758</v>
      </c>
      <c r="C518" s="31" t="s">
        <v>2502</v>
      </c>
      <c r="D518" s="223"/>
      <c r="E518" s="31" t="s">
        <v>2503</v>
      </c>
      <c r="F518" s="226" t="str">
        <f>IF(wskakunin_20setubi301_SETUBISEKKEI_KOUFU_NO="","",wskakunin_20setubi301_SETUBISEKKEI_KOUFU_NO)</f>
        <v/>
      </c>
    </row>
    <row r="519" spans="1:6" s="18" customFormat="1" ht="15" customHeight="1">
      <c r="A519" s="101"/>
      <c r="B519" s="72" t="s">
        <v>597</v>
      </c>
      <c r="C519" s="31" t="s">
        <v>766</v>
      </c>
      <c r="D519" s="223"/>
      <c r="E519" s="31" t="s">
        <v>767</v>
      </c>
      <c r="F519" s="226" t="str">
        <f>IF(wskakunin_20setubi302_NAME="","",wskakunin_20setubi302_NAME)</f>
        <v/>
      </c>
    </row>
    <row r="520" spans="1:6" s="18" customFormat="1" ht="15" customHeight="1">
      <c r="A520" s="101"/>
      <c r="B520" s="72" t="s">
        <v>758</v>
      </c>
      <c r="C520" s="31" t="s">
        <v>2504</v>
      </c>
      <c r="D520" s="223"/>
      <c r="E520" s="31" t="s">
        <v>2505</v>
      </c>
      <c r="F520" s="226" t="str">
        <f>IF(wskakunin_20setubi302_SETUBISEKKEI_KOUFU_NO="","",wskakunin_20setubi302_SETUBISEKKEI_KOUFU_NO)</f>
        <v/>
      </c>
    </row>
    <row r="521" spans="1:6" s="18" customFormat="1" ht="15" customHeight="1">
      <c r="A521" s="101"/>
      <c r="B521" s="72" t="s">
        <v>597</v>
      </c>
      <c r="C521" s="31" t="s">
        <v>768</v>
      </c>
      <c r="D521" s="223"/>
      <c r="E521" s="31" t="s">
        <v>769</v>
      </c>
      <c r="F521" s="226" t="str">
        <f>IF(wskakunin_20setubi303_NAME="","",wskakunin_20setubi303_NAME)</f>
        <v/>
      </c>
    </row>
    <row r="522" spans="1:6" s="18" customFormat="1" ht="15" customHeight="1">
      <c r="A522" s="101"/>
      <c r="B522" s="72" t="s">
        <v>758</v>
      </c>
      <c r="C522" s="31" t="s">
        <v>2506</v>
      </c>
      <c r="D522" s="223"/>
      <c r="E522" s="31" t="s">
        <v>2507</v>
      </c>
      <c r="F522" s="226" t="str">
        <f>IF(wskakunin_20setubi303_SETUBISEKKEI_KOUFU_NO="","",wskakunin_20setubi303_SETUBISEKKEI_KOUFU_NO)</f>
        <v/>
      </c>
    </row>
    <row r="523" spans="1:6" s="18" customFormat="1" ht="15" customHeight="1">
      <c r="A523" s="101"/>
      <c r="B523" s="72" t="s">
        <v>597</v>
      </c>
      <c r="C523" s="31" t="s">
        <v>2565</v>
      </c>
      <c r="D523" s="223"/>
      <c r="E523" s="31" t="s">
        <v>2566</v>
      </c>
      <c r="F523" s="226" t="str">
        <f>IF(wskakunin_20setubi304_NAME="","",wskakunin_20setubi304_NAME)</f>
        <v/>
      </c>
    </row>
    <row r="524" spans="1:6" s="18" customFormat="1" ht="15" customHeight="1">
      <c r="A524" s="101"/>
      <c r="B524" s="72" t="s">
        <v>758</v>
      </c>
      <c r="C524" s="31" t="s">
        <v>2567</v>
      </c>
      <c r="D524" s="223"/>
      <c r="E524" s="31" t="s">
        <v>2568</v>
      </c>
      <c r="F524" s="226" t="str">
        <f>IF(wskakunin_20setubi304_SETUBISEKKEI_KOUFU_NO="","",wskakunin_20setubi304_SETUBISEKKEI_KOUFU_NO)</f>
        <v/>
      </c>
    </row>
    <row r="525" spans="1:6" s="18" customFormat="1" ht="15" customHeight="1">
      <c r="A525" s="101"/>
      <c r="B525" s="72" t="s">
        <v>597</v>
      </c>
      <c r="C525" s="31" t="s">
        <v>2569</v>
      </c>
      <c r="D525" s="223"/>
      <c r="E525" s="31" t="s">
        <v>2570</v>
      </c>
      <c r="F525" s="226" t="str">
        <f>IF(wskakunin_20setubi305_NAME="","",wskakunin_20setubi305_NAME)</f>
        <v/>
      </c>
    </row>
    <row r="526" spans="1:6" s="18" customFormat="1" ht="15" customHeight="1">
      <c r="A526" s="101"/>
      <c r="B526" s="72" t="s">
        <v>758</v>
      </c>
      <c r="C526" s="31" t="s">
        <v>2571</v>
      </c>
      <c r="D526" s="223"/>
      <c r="E526" s="31" t="s">
        <v>2572</v>
      </c>
      <c r="F526" s="226" t="str">
        <f>IF(wskakunin_20setubi305_SETUBISEKKEI_KOUFU_NO="","",wskakunin_20setubi305_SETUBISEKKEI_KOUFU_NO)</f>
        <v/>
      </c>
    </row>
    <row r="527" spans="1:6" ht="15" customHeight="1">
      <c r="A527" s="49"/>
      <c r="B527" s="73"/>
    </row>
    <row r="528" spans="1:6" s="15" customFormat="1" ht="15" customHeight="1">
      <c r="A528" s="35" t="s">
        <v>554</v>
      </c>
      <c r="B528" s="36"/>
      <c r="C528" s="32"/>
      <c r="D528" s="32"/>
      <c r="E528" s="32"/>
    </row>
    <row r="529" spans="1:22" s="15" customFormat="1" ht="15" customHeight="1">
      <c r="A529" s="38" t="s">
        <v>596</v>
      </c>
      <c r="B529" s="39"/>
      <c r="C529" s="32"/>
      <c r="D529" s="32"/>
      <c r="E529" s="32"/>
    </row>
    <row r="530" spans="1:22" s="33" customFormat="1" ht="15" customHeight="1">
      <c r="A530" s="37"/>
      <c r="B530" s="76" t="s">
        <v>597</v>
      </c>
      <c r="C530" s="14" t="s">
        <v>1341</v>
      </c>
      <c r="D530" s="214"/>
      <c r="E530" s="14" t="s">
        <v>1337</v>
      </c>
      <c r="F530" s="42" t="str">
        <f>IF(wskakunin_iken1_NAME="","",wskakunin_iken1_NAME)</f>
        <v/>
      </c>
      <c r="G530" s="15"/>
    </row>
    <row r="531" spans="1:22" s="33" customFormat="1" ht="15" customHeight="1">
      <c r="A531" s="37"/>
      <c r="B531" s="76" t="s">
        <v>598</v>
      </c>
      <c r="C531" s="14" t="s">
        <v>1342</v>
      </c>
      <c r="D531" s="215"/>
      <c r="E531" s="14" t="s">
        <v>1348</v>
      </c>
      <c r="F531" s="42" t="str">
        <f>IF(wskakunin_iken1_JIMU_NAME="","",wskakunin_iken1_JIMU_NAME)</f>
        <v/>
      </c>
      <c r="G531" s="15"/>
    </row>
    <row r="532" spans="1:22" s="33" customFormat="1" ht="15" customHeight="1">
      <c r="A532" s="37"/>
      <c r="B532" s="76" t="s">
        <v>551</v>
      </c>
      <c r="C532" s="14" t="s">
        <v>1343</v>
      </c>
      <c r="D532" s="215"/>
      <c r="E532" s="14" t="s">
        <v>1349</v>
      </c>
      <c r="F532" s="42" t="str">
        <f>IF(wskakunin_iken1_ZIP="","",wskakunin_iken1_ZIP)</f>
        <v/>
      </c>
      <c r="G532" s="15"/>
      <c r="I532" s="34"/>
      <c r="J532" s="34"/>
      <c r="K532" s="34"/>
      <c r="L532" s="34"/>
      <c r="M532" s="34"/>
      <c r="N532" s="34"/>
      <c r="O532" s="34"/>
      <c r="P532" s="34"/>
      <c r="Q532" s="34"/>
      <c r="R532" s="34"/>
      <c r="S532" s="34"/>
      <c r="T532" s="34"/>
      <c r="U532" s="34"/>
      <c r="V532" s="34"/>
    </row>
    <row r="533" spans="1:22" s="33" customFormat="1" ht="15" customHeight="1">
      <c r="A533" s="37"/>
      <c r="B533" s="76" t="s">
        <v>599</v>
      </c>
      <c r="C533" s="14" t="s">
        <v>1344</v>
      </c>
      <c r="D533" s="215"/>
      <c r="E533" s="14" t="s">
        <v>1338</v>
      </c>
      <c r="F533" s="42" t="str">
        <f>IF(wskakunin_iken1__address="","",wskakunin_iken1__address)</f>
        <v/>
      </c>
      <c r="G533" s="15"/>
      <c r="I533" s="34"/>
      <c r="J533" s="34"/>
      <c r="K533" s="34"/>
      <c r="L533" s="34"/>
      <c r="M533" s="34"/>
      <c r="N533" s="34"/>
      <c r="O533" s="34"/>
      <c r="P533" s="34"/>
      <c r="Q533" s="34"/>
      <c r="R533" s="34"/>
      <c r="S533" s="34"/>
      <c r="T533" s="34"/>
      <c r="U533" s="34"/>
      <c r="V533" s="34"/>
    </row>
    <row r="534" spans="1:22" s="33" customFormat="1" ht="15" customHeight="1">
      <c r="A534" s="37"/>
      <c r="B534" s="76" t="s">
        <v>555</v>
      </c>
      <c r="C534" s="14" t="s">
        <v>1345</v>
      </c>
      <c r="D534" s="215"/>
      <c r="E534" s="14" t="s">
        <v>1339</v>
      </c>
      <c r="F534" s="42" t="str">
        <f>IF(wskakunin_iken1_TEL="","",wskakunin_iken1_TEL)</f>
        <v/>
      </c>
      <c r="G534" s="15"/>
      <c r="I534" s="34"/>
      <c r="J534" s="34"/>
      <c r="K534" s="34"/>
      <c r="L534" s="34"/>
      <c r="M534" s="34"/>
      <c r="N534" s="34"/>
      <c r="O534" s="34"/>
      <c r="P534" s="34"/>
      <c r="Q534" s="34"/>
      <c r="R534" s="34"/>
      <c r="S534" s="34"/>
      <c r="T534" s="34"/>
      <c r="U534" s="34"/>
      <c r="V534" s="34"/>
    </row>
    <row r="535" spans="1:22" s="33" customFormat="1" ht="15" customHeight="1">
      <c r="A535" s="37"/>
      <c r="B535" s="76" t="s">
        <v>556</v>
      </c>
      <c r="C535" s="14" t="s">
        <v>1346</v>
      </c>
      <c r="D535" s="215"/>
      <c r="E535" s="14" t="s">
        <v>1350</v>
      </c>
      <c r="F535" s="42" t="str">
        <f>IF(wskakunin_iken1_IKEN_NO="","",wskakunin_iken1_IKEN_NO)</f>
        <v/>
      </c>
      <c r="G535" s="15"/>
    </row>
    <row r="536" spans="1:22" s="15" customFormat="1" ht="15" customHeight="1">
      <c r="A536" s="35"/>
      <c r="B536" s="77" t="s">
        <v>557</v>
      </c>
      <c r="C536" s="32" t="s">
        <v>1347</v>
      </c>
      <c r="D536" s="214"/>
      <c r="E536" s="32" t="s">
        <v>1340</v>
      </c>
      <c r="F536" s="143" t="str">
        <f>IF(wskakunin_iken1_DOC="","",wskakunin_iken1_DOC)</f>
        <v/>
      </c>
    </row>
    <row r="537" spans="1:22" s="15" customFormat="1" ht="15" customHeight="1">
      <c r="A537" s="35"/>
      <c r="B537" s="78"/>
      <c r="C537" s="32"/>
    </row>
    <row r="538" spans="1:22" s="15" customFormat="1" ht="15" customHeight="1">
      <c r="A538" s="38" t="s">
        <v>600</v>
      </c>
      <c r="B538" s="39"/>
      <c r="C538" s="32"/>
      <c r="D538" s="32"/>
    </row>
    <row r="539" spans="1:22" s="33" customFormat="1" ht="15" customHeight="1">
      <c r="A539" s="37"/>
      <c r="B539" s="76" t="s">
        <v>597</v>
      </c>
      <c r="C539" s="14" t="s">
        <v>1358</v>
      </c>
      <c r="D539" s="227"/>
      <c r="E539" s="14" t="s">
        <v>1351</v>
      </c>
      <c r="F539" s="42" t="str">
        <f>IF(wskakunin_iken2_NAME="","",wskakunin_iken2_NAME)</f>
        <v/>
      </c>
      <c r="G539" s="15"/>
    </row>
    <row r="540" spans="1:22" s="33" customFormat="1" ht="15" customHeight="1">
      <c r="A540" s="37"/>
      <c r="B540" s="76" t="s">
        <v>598</v>
      </c>
      <c r="C540" s="14" t="s">
        <v>1359</v>
      </c>
      <c r="D540" s="227"/>
      <c r="E540" s="14" t="s">
        <v>1355</v>
      </c>
      <c r="F540" s="42" t="str">
        <f>IF(wskakunin_iken2_JIMU_NAME="","",wskakunin_iken2_JIMU_NAME)</f>
        <v/>
      </c>
      <c r="G540" s="15"/>
    </row>
    <row r="541" spans="1:22" s="33" customFormat="1" ht="15" customHeight="1">
      <c r="A541" s="37"/>
      <c r="B541" s="76" t="s">
        <v>551</v>
      </c>
      <c r="C541" s="14" t="s">
        <v>1360</v>
      </c>
      <c r="D541" s="227"/>
      <c r="E541" s="14" t="s">
        <v>1356</v>
      </c>
      <c r="F541" s="42" t="str">
        <f>IF(wskakunin_iken2_ZIP="","",wskakunin_iken2_ZIP)</f>
        <v/>
      </c>
      <c r="G541" s="15"/>
      <c r="I541" s="34"/>
      <c r="J541" s="34"/>
      <c r="K541" s="34"/>
      <c r="L541" s="34"/>
      <c r="M541" s="34"/>
      <c r="N541" s="34"/>
      <c r="O541" s="34"/>
      <c r="P541" s="34"/>
      <c r="Q541" s="34"/>
      <c r="R541" s="34"/>
      <c r="S541" s="34"/>
      <c r="T541" s="34"/>
      <c r="U541" s="34"/>
      <c r="V541" s="34"/>
    </row>
    <row r="542" spans="1:22" s="33" customFormat="1" ht="15" customHeight="1">
      <c r="A542" s="37"/>
      <c r="B542" s="76" t="s">
        <v>599</v>
      </c>
      <c r="C542" s="14" t="s">
        <v>1361</v>
      </c>
      <c r="D542" s="227"/>
      <c r="E542" s="14" t="s">
        <v>1352</v>
      </c>
      <c r="F542" s="42" t="str">
        <f>IF(wskakunin_iken2__address="","",wskakunin_iken2__address)</f>
        <v/>
      </c>
      <c r="G542" s="15"/>
      <c r="I542" s="34"/>
      <c r="J542" s="34"/>
      <c r="K542" s="34"/>
      <c r="L542" s="34"/>
      <c r="M542" s="34"/>
      <c r="N542" s="34"/>
      <c r="O542" s="34"/>
      <c r="P542" s="34"/>
      <c r="Q542" s="34"/>
      <c r="R542" s="34"/>
      <c r="S542" s="34"/>
      <c r="T542" s="34"/>
      <c r="U542" s="34"/>
      <c r="V542" s="34"/>
    </row>
    <row r="543" spans="1:22" s="33" customFormat="1" ht="15" customHeight="1">
      <c r="A543" s="37"/>
      <c r="B543" s="76" t="s">
        <v>555</v>
      </c>
      <c r="C543" s="14" t="s">
        <v>1362</v>
      </c>
      <c r="D543" s="227"/>
      <c r="E543" s="14" t="s">
        <v>1353</v>
      </c>
      <c r="F543" s="42" t="str">
        <f>IF(wskakunin_iken2_TEL="","",wskakunin_iken2_TEL)</f>
        <v/>
      </c>
      <c r="G543" s="15"/>
      <c r="I543" s="34"/>
      <c r="J543" s="34"/>
      <c r="K543" s="34"/>
      <c r="L543" s="34"/>
      <c r="M543" s="34"/>
      <c r="N543" s="34"/>
      <c r="O543" s="34"/>
      <c r="P543" s="34"/>
      <c r="Q543" s="34"/>
      <c r="R543" s="34"/>
      <c r="S543" s="34"/>
      <c r="T543" s="34"/>
      <c r="U543" s="34"/>
      <c r="V543" s="34"/>
    </row>
    <row r="544" spans="1:22" s="33" customFormat="1" ht="15" customHeight="1">
      <c r="A544" s="37"/>
      <c r="B544" s="76" t="s">
        <v>556</v>
      </c>
      <c r="C544" s="14" t="s">
        <v>1363</v>
      </c>
      <c r="D544" s="227"/>
      <c r="E544" s="14" t="s">
        <v>1357</v>
      </c>
      <c r="F544" s="42" t="str">
        <f>IF(wskakunin_iken2_IKEN_NO="","",wskakunin_iken2_IKEN_NO)</f>
        <v/>
      </c>
      <c r="G544" s="15"/>
    </row>
    <row r="545" spans="1:22" s="15" customFormat="1" ht="15" customHeight="1">
      <c r="A545" s="35"/>
      <c r="B545" s="77" t="s">
        <v>557</v>
      </c>
      <c r="C545" s="32" t="s">
        <v>1364</v>
      </c>
      <c r="D545" s="214"/>
      <c r="E545" s="32" t="s">
        <v>1354</v>
      </c>
      <c r="F545" s="143" t="str">
        <f>IF(wskakunin_iken2_DOC="","",wskakunin_iken2_DOC)</f>
        <v/>
      </c>
    </row>
    <row r="546" spans="1:22" s="15" customFormat="1" ht="15" customHeight="1">
      <c r="A546" s="35"/>
      <c r="B546" s="78"/>
      <c r="C546" s="32"/>
      <c r="D546" s="32"/>
    </row>
    <row r="547" spans="1:22" s="15" customFormat="1" ht="15" customHeight="1">
      <c r="A547" s="38" t="s">
        <v>601</v>
      </c>
      <c r="B547" s="39"/>
      <c r="C547" s="32"/>
      <c r="D547" s="32"/>
    </row>
    <row r="548" spans="1:22" s="33" customFormat="1" ht="15" customHeight="1">
      <c r="A548" s="37"/>
      <c r="B548" s="76" t="s">
        <v>597</v>
      </c>
      <c r="C548" s="14" t="s">
        <v>1381</v>
      </c>
      <c r="D548" s="215"/>
      <c r="E548" s="14" t="s">
        <v>1367</v>
      </c>
      <c r="F548" s="42" t="str">
        <f>IF(wskakunin_iken3_NAME="","",wskakunin_iken3_NAME)</f>
        <v/>
      </c>
      <c r="G548" s="15"/>
    </row>
    <row r="549" spans="1:22" s="33" customFormat="1" ht="15" customHeight="1">
      <c r="A549" s="37"/>
      <c r="B549" s="76" t="s">
        <v>598</v>
      </c>
      <c r="C549" s="14" t="s">
        <v>1382</v>
      </c>
      <c r="D549" s="215"/>
      <c r="E549" s="14" t="s">
        <v>1368</v>
      </c>
      <c r="F549" s="42" t="str">
        <f>IF(wskakunin_iken3_JIMU_NAME="","",wskakunin_iken3_JIMU_NAME)</f>
        <v/>
      </c>
      <c r="G549" s="15"/>
    </row>
    <row r="550" spans="1:22" s="33" customFormat="1" ht="15" customHeight="1">
      <c r="A550" s="37"/>
      <c r="B550" s="76" t="s">
        <v>551</v>
      </c>
      <c r="C550" s="14" t="s">
        <v>1383</v>
      </c>
      <c r="D550" s="215"/>
      <c r="E550" s="14" t="s">
        <v>1369</v>
      </c>
      <c r="F550" s="42" t="str">
        <f>IF(wskakunin_iken3_ZIP="","",wskakunin_iken3_ZIP)</f>
        <v/>
      </c>
      <c r="G550" s="15"/>
      <c r="I550" s="34"/>
      <c r="J550" s="34"/>
      <c r="K550" s="34"/>
      <c r="L550" s="34"/>
      <c r="M550" s="34"/>
      <c r="N550" s="34"/>
      <c r="O550" s="34"/>
      <c r="P550" s="34"/>
      <c r="Q550" s="34"/>
      <c r="R550" s="34"/>
      <c r="S550" s="34"/>
      <c r="T550" s="34"/>
      <c r="U550" s="34"/>
      <c r="V550" s="34"/>
    </row>
    <row r="551" spans="1:22" s="33" customFormat="1" ht="15" customHeight="1">
      <c r="A551" s="37"/>
      <c r="B551" s="76" t="s">
        <v>599</v>
      </c>
      <c r="C551" s="14" t="s">
        <v>1384</v>
      </c>
      <c r="D551" s="215"/>
      <c r="E551" s="14" t="s">
        <v>1370</v>
      </c>
      <c r="F551" s="42" t="str">
        <f>IF(wskakunin_iken3__address="","",wskakunin_iken3__address)</f>
        <v/>
      </c>
      <c r="G551" s="15"/>
      <c r="I551" s="34"/>
      <c r="J551" s="34"/>
      <c r="K551" s="34"/>
      <c r="L551" s="34"/>
      <c r="M551" s="34"/>
      <c r="N551" s="34"/>
      <c r="O551" s="34"/>
      <c r="P551" s="34"/>
      <c r="Q551" s="34"/>
      <c r="R551" s="34"/>
      <c r="S551" s="34"/>
      <c r="T551" s="34"/>
      <c r="U551" s="34"/>
      <c r="V551" s="34"/>
    </row>
    <row r="552" spans="1:22" s="33" customFormat="1" ht="15" customHeight="1">
      <c r="A552" s="37"/>
      <c r="B552" s="76" t="s">
        <v>555</v>
      </c>
      <c r="C552" s="14" t="s">
        <v>1385</v>
      </c>
      <c r="D552" s="215"/>
      <c r="E552" s="14" t="s">
        <v>1371</v>
      </c>
      <c r="F552" s="42" t="str">
        <f>IF(wskakunin_iken3_TEL="","",wskakunin_iken3_TEL)</f>
        <v/>
      </c>
      <c r="G552" s="15"/>
      <c r="I552" s="34"/>
      <c r="J552" s="34"/>
      <c r="K552" s="34"/>
      <c r="L552" s="34"/>
      <c r="M552" s="34"/>
      <c r="N552" s="34"/>
      <c r="O552" s="34"/>
      <c r="P552" s="34"/>
      <c r="Q552" s="34"/>
      <c r="R552" s="34"/>
      <c r="S552" s="34"/>
      <c r="T552" s="34"/>
      <c r="U552" s="34"/>
      <c r="V552" s="34"/>
    </row>
    <row r="553" spans="1:22" s="33" customFormat="1" ht="15" customHeight="1">
      <c r="A553" s="37"/>
      <c r="B553" s="76" t="s">
        <v>556</v>
      </c>
      <c r="C553" s="14" t="s">
        <v>1386</v>
      </c>
      <c r="D553" s="215"/>
      <c r="E553" s="14" t="s">
        <v>1372</v>
      </c>
      <c r="F553" s="42" t="str">
        <f>IF(wskakunin_iken3_IKEN_NO="","",wskakunin_iken3_IKEN_NO)</f>
        <v/>
      </c>
      <c r="G553" s="15"/>
    </row>
    <row r="554" spans="1:22" s="15" customFormat="1" ht="15" customHeight="1">
      <c r="A554" s="35"/>
      <c r="B554" s="77" t="s">
        <v>557</v>
      </c>
      <c r="C554" s="32" t="s">
        <v>1387</v>
      </c>
      <c r="D554" s="214"/>
      <c r="E554" s="32" t="s">
        <v>1373</v>
      </c>
      <c r="F554" s="143" t="str">
        <f>IF(wskakunin_iken3_DOC="","",wskakunin_iken3_DOC)</f>
        <v/>
      </c>
    </row>
    <row r="555" spans="1:22" s="15" customFormat="1" ht="15" customHeight="1">
      <c r="A555" s="35"/>
      <c r="B555" s="78"/>
      <c r="C555" s="32"/>
      <c r="D555" s="32"/>
    </row>
    <row r="556" spans="1:22" s="15" customFormat="1" ht="15" customHeight="1">
      <c r="A556" s="38" t="s">
        <v>602</v>
      </c>
      <c r="B556" s="39"/>
      <c r="C556" s="32"/>
      <c r="D556" s="32"/>
    </row>
    <row r="557" spans="1:22" s="33" customFormat="1" ht="15" customHeight="1">
      <c r="A557" s="37"/>
      <c r="B557" s="76" t="s">
        <v>597</v>
      </c>
      <c r="C557" s="14" t="s">
        <v>1388</v>
      </c>
      <c r="D557" s="215"/>
      <c r="E557" s="14" t="s">
        <v>1374</v>
      </c>
      <c r="F557" s="42" t="str">
        <f>IF(wskakunin_iken4_NAME="","",wskakunin_iken4_NAME)</f>
        <v/>
      </c>
      <c r="G557" s="15"/>
    </row>
    <row r="558" spans="1:22" s="33" customFormat="1" ht="15" customHeight="1">
      <c r="A558" s="37"/>
      <c r="B558" s="76" t="s">
        <v>598</v>
      </c>
      <c r="C558" s="14" t="s">
        <v>1389</v>
      </c>
      <c r="D558" s="215"/>
      <c r="E558" s="14" t="s">
        <v>1375</v>
      </c>
      <c r="F558" s="42" t="str">
        <f>IF(wskakunin_iken4_JIMU_NAME="","",wskakunin_iken4_JIMU_NAME)</f>
        <v/>
      </c>
      <c r="G558" s="15"/>
    </row>
    <row r="559" spans="1:22" s="33" customFormat="1" ht="15" customHeight="1">
      <c r="A559" s="37"/>
      <c r="B559" s="76" t="s">
        <v>551</v>
      </c>
      <c r="C559" s="14" t="s">
        <v>1390</v>
      </c>
      <c r="D559" s="215"/>
      <c r="E559" s="14" t="s">
        <v>1376</v>
      </c>
      <c r="F559" s="42" t="str">
        <f>IF(wskakunin_iken4_ZIP="","",wskakunin_iken4_ZIP)</f>
        <v/>
      </c>
      <c r="G559" s="15"/>
      <c r="I559" s="34"/>
      <c r="J559" s="34"/>
      <c r="K559" s="34"/>
      <c r="L559" s="34"/>
      <c r="M559" s="34"/>
      <c r="N559" s="34"/>
      <c r="O559" s="34"/>
      <c r="P559" s="34"/>
      <c r="Q559" s="34"/>
      <c r="R559" s="34"/>
      <c r="S559" s="34"/>
      <c r="T559" s="34"/>
      <c r="U559" s="34"/>
      <c r="V559" s="34"/>
    </row>
    <row r="560" spans="1:22" s="33" customFormat="1" ht="15" customHeight="1">
      <c r="A560" s="37"/>
      <c r="B560" s="76" t="s">
        <v>599</v>
      </c>
      <c r="C560" s="14" t="s">
        <v>1391</v>
      </c>
      <c r="D560" s="215"/>
      <c r="E560" s="14" t="s">
        <v>1377</v>
      </c>
      <c r="F560" s="42" t="str">
        <f>IF(wskakunin_iken4__address="","",wskakunin_iken4__address)</f>
        <v/>
      </c>
      <c r="G560" s="15"/>
      <c r="I560" s="34"/>
      <c r="J560" s="34"/>
      <c r="K560" s="34"/>
      <c r="L560" s="34"/>
      <c r="M560" s="34"/>
      <c r="N560" s="34"/>
      <c r="O560" s="34"/>
      <c r="P560" s="34"/>
      <c r="Q560" s="34"/>
      <c r="R560" s="34"/>
      <c r="S560" s="34"/>
      <c r="T560" s="34"/>
      <c r="U560" s="34"/>
      <c r="V560" s="34"/>
    </row>
    <row r="561" spans="1:22" s="33" customFormat="1" ht="15" customHeight="1">
      <c r="A561" s="37"/>
      <c r="B561" s="76" t="s">
        <v>555</v>
      </c>
      <c r="C561" s="14" t="s">
        <v>1392</v>
      </c>
      <c r="D561" s="215"/>
      <c r="E561" s="14" t="s">
        <v>1378</v>
      </c>
      <c r="F561" s="42" t="str">
        <f>IF(wskakunin_iken4_TEL="","",wskakunin_iken4_TEL)</f>
        <v/>
      </c>
      <c r="G561" s="15"/>
      <c r="I561" s="34"/>
      <c r="J561" s="34"/>
      <c r="K561" s="34"/>
      <c r="L561" s="34"/>
      <c r="M561" s="34"/>
      <c r="N561" s="34"/>
      <c r="O561" s="34"/>
      <c r="P561" s="34"/>
      <c r="Q561" s="34"/>
      <c r="R561" s="34"/>
      <c r="S561" s="34"/>
      <c r="T561" s="34"/>
      <c r="U561" s="34"/>
      <c r="V561" s="34"/>
    </row>
    <row r="562" spans="1:22" s="33" customFormat="1" ht="15" customHeight="1">
      <c r="A562" s="37"/>
      <c r="B562" s="76" t="s">
        <v>556</v>
      </c>
      <c r="C562" s="14" t="s">
        <v>1393</v>
      </c>
      <c r="D562" s="215"/>
      <c r="E562" s="14" t="s">
        <v>1379</v>
      </c>
      <c r="F562" s="42" t="str">
        <f>IF(wskakunin_iken4_IKEN_NO="","",wskakunin_iken4_IKEN_NO)</f>
        <v/>
      </c>
      <c r="G562" s="15"/>
    </row>
    <row r="563" spans="1:22" s="15" customFormat="1" ht="15" customHeight="1">
      <c r="A563" s="35"/>
      <c r="B563" s="77" t="s">
        <v>557</v>
      </c>
      <c r="C563" s="32" t="s">
        <v>1394</v>
      </c>
      <c r="D563" s="214"/>
      <c r="E563" s="32" t="s">
        <v>1380</v>
      </c>
      <c r="F563" s="143" t="str">
        <f>IF(wskakunin_iken4_DOC="","",wskakunin_iken4_DOC)</f>
        <v/>
      </c>
    </row>
    <row r="564" spans="1:22" s="15" customFormat="1" ht="15" customHeight="1">
      <c r="A564" s="38" t="s">
        <v>2597</v>
      </c>
      <c r="B564" s="39"/>
      <c r="C564" s="31"/>
      <c r="D564" s="31"/>
      <c r="E564" s="31"/>
      <c r="F564" s="31"/>
    </row>
    <row r="565" spans="1:22" s="15" customFormat="1" ht="15" customHeight="1">
      <c r="A565" s="37"/>
      <c r="B565" s="76" t="s">
        <v>597</v>
      </c>
      <c r="C565" s="14" t="s">
        <v>2598</v>
      </c>
      <c r="D565" s="215"/>
      <c r="E565" s="31" t="s">
        <v>2599</v>
      </c>
      <c r="F565" s="143" t="str">
        <f>IF(wskakunin_iken5_NAME="","",wskakunin_iken5_NAME)</f>
        <v/>
      </c>
    </row>
    <row r="566" spans="1:22" s="15" customFormat="1" ht="15" customHeight="1">
      <c r="A566" s="37"/>
      <c r="B566" s="76" t="s">
        <v>598</v>
      </c>
      <c r="C566" s="14" t="s">
        <v>2600</v>
      </c>
      <c r="D566" s="215"/>
      <c r="E566" s="31" t="s">
        <v>2601</v>
      </c>
      <c r="F566" s="143" t="str">
        <f>IF(wskakunin_iken5_JIMU_NAME="","",wskakunin_iken5_JIMU_NAME)</f>
        <v/>
      </c>
    </row>
    <row r="567" spans="1:22" s="15" customFormat="1" ht="15" customHeight="1">
      <c r="A567" s="37"/>
      <c r="B567" s="76" t="s">
        <v>551</v>
      </c>
      <c r="C567" s="14" t="s">
        <v>2602</v>
      </c>
      <c r="D567" s="215"/>
      <c r="E567" s="31" t="s">
        <v>2603</v>
      </c>
      <c r="F567" s="143" t="str">
        <f>IF(wskakunin_iken5_ZIP="","",wskakunin_iken5_ZIP)</f>
        <v/>
      </c>
    </row>
    <row r="568" spans="1:22" s="15" customFormat="1" ht="15" customHeight="1">
      <c r="A568" s="37"/>
      <c r="B568" s="76" t="s">
        <v>599</v>
      </c>
      <c r="C568" s="14" t="s">
        <v>2604</v>
      </c>
      <c r="D568" s="215"/>
      <c r="E568" s="31" t="s">
        <v>2605</v>
      </c>
      <c r="F568" s="143" t="str">
        <f>IF(wskakunin_iken5__address="","",wskakunin_iken5__address)</f>
        <v/>
      </c>
    </row>
    <row r="569" spans="1:22" s="15" customFormat="1" ht="15" customHeight="1">
      <c r="A569" s="37"/>
      <c r="B569" s="76" t="s">
        <v>555</v>
      </c>
      <c r="C569" s="14" t="s">
        <v>2606</v>
      </c>
      <c r="D569" s="215"/>
      <c r="E569" s="31" t="s">
        <v>2607</v>
      </c>
      <c r="F569" s="143" t="str">
        <f>IF(wskakunin_iken5_TEL="","",wskakunin_iken5_TEL)</f>
        <v/>
      </c>
    </row>
    <row r="570" spans="1:22" s="15" customFormat="1" ht="15" customHeight="1">
      <c r="A570" s="37"/>
      <c r="B570" s="76" t="s">
        <v>556</v>
      </c>
      <c r="C570" s="14" t="s">
        <v>2608</v>
      </c>
      <c r="D570" s="215"/>
      <c r="E570" s="31" t="s">
        <v>2609</v>
      </c>
      <c r="F570" s="143" t="str">
        <f>IF(wskakunin_iken5_IKEN_NO="","",wskakunin_iken5_IKEN_NO)</f>
        <v/>
      </c>
    </row>
    <row r="571" spans="1:22" s="15" customFormat="1" ht="15" customHeight="1">
      <c r="A571" s="35"/>
      <c r="B571" s="77" t="s">
        <v>557</v>
      </c>
      <c r="C571" s="32" t="s">
        <v>2610</v>
      </c>
      <c r="D571" s="215"/>
      <c r="E571" s="31" t="s">
        <v>2611</v>
      </c>
      <c r="F571" s="143" t="str">
        <f>IF(wskakunin_iken5_DOC="","",wskakunin_iken5_DOC)</f>
        <v/>
      </c>
    </row>
    <row r="572" spans="1:22" s="31" customFormat="1" ht="15" customHeight="1">
      <c r="A572" s="195"/>
      <c r="B572" s="78"/>
      <c r="G572" s="15"/>
    </row>
    <row r="573" spans="1:22" ht="15" customHeight="1">
      <c r="A573" s="1" t="s">
        <v>610</v>
      </c>
      <c r="B573" s="42" t="s">
        <v>562</v>
      </c>
      <c r="G573" s="15"/>
      <c r="H573" s="15"/>
    </row>
    <row r="574" spans="1:22" ht="15" customHeight="1">
      <c r="A574" s="25"/>
      <c r="B574" s="69" t="s">
        <v>540</v>
      </c>
      <c r="C574" s="14" t="s">
        <v>770</v>
      </c>
      <c r="D574" s="143"/>
      <c r="E574" s="14" t="s">
        <v>771</v>
      </c>
      <c r="F574" s="143" t="str">
        <f>IF(wskakunin_kanri1__sikaku="", "", wskakunin_kanri1__sikaku)</f>
        <v/>
      </c>
      <c r="G574" s="15"/>
      <c r="H574" s="15"/>
    </row>
    <row r="575" spans="1:22" ht="15" customHeight="1">
      <c r="A575" s="25"/>
      <c r="B575" s="69" t="s">
        <v>541</v>
      </c>
      <c r="C575" s="14" t="s">
        <v>772</v>
      </c>
      <c r="D575" s="143"/>
      <c r="E575" s="14" t="s">
        <v>1401</v>
      </c>
      <c r="F575" s="143" t="str">
        <f>IF(wskakunin_kanri1_SIKAKU__label="", "", wskakunin_kanri1_SIKAKU__label)</f>
        <v/>
      </c>
      <c r="G575" s="15"/>
      <c r="H575" s="15"/>
    </row>
    <row r="576" spans="1:22" ht="15" customHeight="1">
      <c r="A576" s="30"/>
      <c r="B576" s="75" t="s">
        <v>536</v>
      </c>
      <c r="C576" s="14" t="s">
        <v>1329</v>
      </c>
      <c r="D576" s="143"/>
      <c r="E576" s="14" t="s">
        <v>773</v>
      </c>
      <c r="F576" s="143" t="str">
        <f>IF(wskakunin_kanri1_TOUROKU_KIKAN__label="","",wskakunin_kanri1_TOUROKU_KIKAN__label)</f>
        <v/>
      </c>
      <c r="G576" s="15"/>
      <c r="H576" s="15"/>
    </row>
    <row r="577" spans="1:8" ht="15" customHeight="1">
      <c r="A577" s="30"/>
      <c r="B577" s="75" t="s">
        <v>537</v>
      </c>
      <c r="C577" s="14" t="s">
        <v>774</v>
      </c>
      <c r="D577" s="214"/>
      <c r="E577" s="14" t="s">
        <v>775</v>
      </c>
      <c r="F577" s="143" t="str">
        <f>IF(wskakunin_kanri1_KENTIKUSI_NO="","",wskakunin_kanri1_KENTIKUSI_NO)</f>
        <v/>
      </c>
      <c r="G577" s="15"/>
      <c r="H577" s="15"/>
    </row>
    <row r="578" spans="1:8" ht="15" customHeight="1">
      <c r="A578" s="58"/>
      <c r="B578" s="69" t="s">
        <v>19</v>
      </c>
      <c r="C578" s="14" t="s">
        <v>776</v>
      </c>
      <c r="D578" s="143"/>
      <c r="E578" s="14" t="s">
        <v>777</v>
      </c>
      <c r="F578" s="143" t="str">
        <f>IF(wskakunin_kanri1_NAME="", "", wskakunin_kanri1_NAME)</f>
        <v/>
      </c>
      <c r="G578" s="15"/>
      <c r="H578" s="15"/>
    </row>
    <row r="579" spans="1:8" ht="15" customHeight="1">
      <c r="A579" s="58"/>
      <c r="B579" s="69" t="s">
        <v>542</v>
      </c>
      <c r="C579" s="14" t="s">
        <v>778</v>
      </c>
      <c r="D579" s="143"/>
      <c r="E579" s="14" t="s">
        <v>779</v>
      </c>
      <c r="F579" s="143" t="str">
        <f>IF(wskakunin_kanri1_JIMU__sikaku="", "", wskakunin_kanri1_JIMU__sikaku)</f>
        <v/>
      </c>
      <c r="G579" s="15"/>
      <c r="H579" s="15"/>
    </row>
    <row r="580" spans="1:8" ht="15" customHeight="1">
      <c r="A580" s="42"/>
      <c r="B580" s="75" t="s">
        <v>23</v>
      </c>
      <c r="C580" s="14" t="s">
        <v>780</v>
      </c>
      <c r="D580" s="143"/>
      <c r="E580" s="14" t="s">
        <v>1402</v>
      </c>
      <c r="F580" s="143" t="str">
        <f>IF(wskakunin_kanri1_JIMU_SIKAKU__label="","",wskakunin_kanri1_JIMU_SIKAKU__label)</f>
        <v/>
      </c>
      <c r="G580" s="15"/>
      <c r="H580" s="15"/>
    </row>
    <row r="581" spans="1:8" ht="15" customHeight="1">
      <c r="A581" s="42"/>
      <c r="B581" s="75" t="s">
        <v>543</v>
      </c>
      <c r="C581" s="14" t="s">
        <v>1330</v>
      </c>
      <c r="D581" s="143"/>
      <c r="E581" s="14" t="s">
        <v>781</v>
      </c>
      <c r="F581" s="143" t="str">
        <f>IF(wskakunin_kanri1_JIMU_TOUROKU_KIKAN__label="","",wskakunin_kanri1_JIMU_TOUROKU_KIKAN__label)</f>
        <v/>
      </c>
      <c r="G581" s="15"/>
      <c r="H581" s="15"/>
    </row>
    <row r="582" spans="1:8" ht="15" customHeight="1">
      <c r="A582" s="42"/>
      <c r="B582" s="75" t="s">
        <v>544</v>
      </c>
      <c r="C582" s="14" t="s">
        <v>782</v>
      </c>
      <c r="D582" s="143"/>
      <c r="E582" s="14" t="s">
        <v>783</v>
      </c>
      <c r="F582" s="143" t="str">
        <f>IF(wskakunin_kanri1_JIMU_NO="","",wskakunin_kanri1_JIMU_NO)</f>
        <v/>
      </c>
      <c r="G582" s="15"/>
      <c r="H582" s="15"/>
    </row>
    <row r="583" spans="1:8" ht="15" customHeight="1">
      <c r="A583" s="58"/>
      <c r="B583" s="69" t="s">
        <v>24</v>
      </c>
      <c r="C583" s="14" t="s">
        <v>784</v>
      </c>
      <c r="D583" s="143"/>
      <c r="E583" s="14" t="s">
        <v>785</v>
      </c>
      <c r="F583" s="143" t="str">
        <f>IF(wskakunin_kanri1_JIMU_NAME="", "", wskakunin_kanri1_JIMU_NAME)</f>
        <v/>
      </c>
      <c r="G583" s="15"/>
      <c r="H583" s="15"/>
    </row>
    <row r="584" spans="1:8" ht="15" customHeight="1">
      <c r="A584" s="58"/>
      <c r="B584" s="69" t="s">
        <v>20</v>
      </c>
      <c r="C584" s="14" t="s">
        <v>786</v>
      </c>
      <c r="D584" s="214"/>
      <c r="E584" s="14" t="s">
        <v>787</v>
      </c>
      <c r="F584" s="143" t="str">
        <f>IF(wskakunin_kanri1_ZIP="", "", wskakunin_kanri1_ZIP)</f>
        <v/>
      </c>
      <c r="G584" s="15"/>
      <c r="H584" s="15"/>
    </row>
    <row r="585" spans="1:8" ht="15" customHeight="1">
      <c r="A585" s="58"/>
      <c r="B585" s="69"/>
      <c r="E585" s="14" t="s">
        <v>2664</v>
      </c>
      <c r="F585" s="143" t="str">
        <f>IF(wskakunin_kanri1_ZIP="","",LEFT(wskakunin_kanri1_ZIP,3)&amp;RIGHT(wskakunin_kanri1_ZIP,4))</f>
        <v/>
      </c>
      <c r="G585" s="15"/>
      <c r="H585" s="15"/>
    </row>
    <row r="586" spans="1:8" ht="15" customHeight="1">
      <c r="A586" s="58"/>
      <c r="B586" s="69" t="s">
        <v>25</v>
      </c>
      <c r="C586" s="14" t="s">
        <v>788</v>
      </c>
      <c r="D586" s="143"/>
      <c r="E586" s="14" t="s">
        <v>789</v>
      </c>
      <c r="F586" s="143" t="str">
        <f>IF(wskakunin_kanri1__address="", "", wskakunin_kanri1__address)</f>
        <v/>
      </c>
      <c r="G586" s="15"/>
      <c r="H586" s="15"/>
    </row>
    <row r="587" spans="1:8" ht="15" customHeight="1">
      <c r="A587" s="58"/>
      <c r="B587" s="69" t="s">
        <v>22</v>
      </c>
      <c r="C587" s="14" t="s">
        <v>790</v>
      </c>
      <c r="D587" s="214"/>
      <c r="E587" s="14" t="s">
        <v>791</v>
      </c>
      <c r="F587" s="143" t="str">
        <f>IF(wskakunin_kanri1_TEL="", "", wskakunin_kanri1_TEL)</f>
        <v/>
      </c>
      <c r="G587" s="15"/>
      <c r="H587" s="15"/>
    </row>
    <row r="588" spans="1:8" ht="15" customHeight="1">
      <c r="A588" s="58"/>
      <c r="B588" s="69" t="s">
        <v>590</v>
      </c>
      <c r="C588" s="14" t="s">
        <v>792</v>
      </c>
      <c r="D588" s="214"/>
      <c r="E588" s="14" t="s">
        <v>793</v>
      </c>
      <c r="F588" s="143" t="str">
        <f>IF(wskakunin_kanri1_DOC="","",wskakunin_kanri1_DOC)</f>
        <v/>
      </c>
      <c r="G588" s="15"/>
      <c r="H588" s="15"/>
    </row>
    <row r="589" spans="1:8" ht="15" customHeight="1">
      <c r="A589" s="42"/>
      <c r="B589" s="72"/>
      <c r="G589" s="15"/>
      <c r="H589" s="15"/>
    </row>
    <row r="590" spans="1:8" ht="15" customHeight="1">
      <c r="A590" s="43" t="s">
        <v>611</v>
      </c>
      <c r="B590" s="42" t="s">
        <v>1903</v>
      </c>
      <c r="G590" s="15"/>
      <c r="H590" s="15"/>
    </row>
    <row r="591" spans="1:8" ht="15" customHeight="1">
      <c r="A591" s="25"/>
      <c r="B591" s="69" t="s">
        <v>540</v>
      </c>
      <c r="C591" s="14" t="s">
        <v>794</v>
      </c>
      <c r="D591" s="143"/>
      <c r="E591" s="14" t="s">
        <v>795</v>
      </c>
      <c r="F591" s="143" t="str">
        <f>IF(wskakunin_kanri2__sikaku="", "", wskakunin_kanri2__sikaku)</f>
        <v/>
      </c>
      <c r="G591" s="15"/>
      <c r="H591" s="15"/>
    </row>
    <row r="592" spans="1:8" ht="15" customHeight="1">
      <c r="A592" s="25"/>
      <c r="B592" s="69" t="s">
        <v>541</v>
      </c>
      <c r="C592" s="14" t="s">
        <v>796</v>
      </c>
      <c r="D592" s="143"/>
      <c r="E592" s="14" t="s">
        <v>1403</v>
      </c>
      <c r="F592" s="143" t="str">
        <f>IF(wskakunin_kanri2_SIKAKU__label="", "", wskakunin_kanri2_SIKAKU__label)</f>
        <v/>
      </c>
      <c r="G592" s="15"/>
      <c r="H592" s="15"/>
    </row>
    <row r="593" spans="1:8" ht="15" customHeight="1">
      <c r="A593" s="30"/>
      <c r="B593" s="75" t="s">
        <v>536</v>
      </c>
      <c r="C593" s="14" t="s">
        <v>1331</v>
      </c>
      <c r="D593" s="143"/>
      <c r="E593" s="14" t="s">
        <v>797</v>
      </c>
      <c r="F593" s="143" t="str">
        <f>IF(wskakunin_kanri2_TOUROKU_KIKAN__label="","",wskakunin_kanri2_TOUROKU_KIKAN__label)</f>
        <v/>
      </c>
      <c r="G593" s="15"/>
      <c r="H593" s="15"/>
    </row>
    <row r="594" spans="1:8" ht="15" customHeight="1">
      <c r="A594" s="30"/>
      <c r="B594" s="75" t="s">
        <v>537</v>
      </c>
      <c r="C594" s="14" t="s">
        <v>798</v>
      </c>
      <c r="D594" s="214"/>
      <c r="E594" s="14" t="s">
        <v>799</v>
      </c>
      <c r="F594" s="143" t="str">
        <f>IF(wskakunin_kanri2_KENTIKUSI_NO="","",wskakunin_kanri2_KENTIKUSI_NO)</f>
        <v/>
      </c>
      <c r="G594" s="15"/>
      <c r="H594" s="15"/>
    </row>
    <row r="595" spans="1:8" ht="15" customHeight="1">
      <c r="A595" s="58"/>
      <c r="B595" s="69" t="s">
        <v>19</v>
      </c>
      <c r="C595" s="14" t="s">
        <v>800</v>
      </c>
      <c r="D595" s="143"/>
      <c r="E595" s="14" t="s">
        <v>801</v>
      </c>
      <c r="F595" s="143" t="str">
        <f>IF(wskakunin_kanri2_NAME="", "", wskakunin_kanri2_NAME)</f>
        <v/>
      </c>
      <c r="G595" s="15"/>
      <c r="H595" s="15"/>
    </row>
    <row r="596" spans="1:8" ht="15" customHeight="1">
      <c r="A596" s="58"/>
      <c r="B596" s="69" t="s">
        <v>542</v>
      </c>
      <c r="C596" s="14" t="s">
        <v>802</v>
      </c>
      <c r="D596" s="143"/>
      <c r="E596" s="14" t="s">
        <v>803</v>
      </c>
      <c r="F596" s="143" t="str">
        <f>IF(wskakunin_kanri2_JIMU__sikaku="", "", wskakunin_kanri2_JIMU__sikaku)</f>
        <v/>
      </c>
      <c r="G596" s="15"/>
      <c r="H596" s="15"/>
    </row>
    <row r="597" spans="1:8" ht="15" customHeight="1">
      <c r="A597" s="42"/>
      <c r="B597" s="75" t="s">
        <v>23</v>
      </c>
      <c r="C597" s="14" t="s">
        <v>804</v>
      </c>
      <c r="D597" s="143"/>
      <c r="E597" s="14" t="s">
        <v>1404</v>
      </c>
      <c r="F597" s="143" t="str">
        <f>IF(wskakunin_kanri2_JIMU_SIKAKU__label="","",wskakunin_kanri2_JIMU_SIKAKU__label)</f>
        <v/>
      </c>
      <c r="G597" s="15"/>
      <c r="H597" s="15"/>
    </row>
    <row r="598" spans="1:8" ht="15" customHeight="1">
      <c r="A598" s="42"/>
      <c r="B598" s="75" t="s">
        <v>543</v>
      </c>
      <c r="C598" s="14" t="s">
        <v>1332</v>
      </c>
      <c r="D598" s="143"/>
      <c r="E598" s="14" t="s">
        <v>805</v>
      </c>
      <c r="F598" s="143" t="str">
        <f>IF(wskakunin_kanri2_JIMU_TOUROKU_KIKAN__label="","",wskakunin_kanri2_JIMU_TOUROKU_KIKAN__label)</f>
        <v/>
      </c>
      <c r="G598" s="15"/>
      <c r="H598" s="15"/>
    </row>
    <row r="599" spans="1:8" ht="15" customHeight="1">
      <c r="A599" s="42"/>
      <c r="B599" s="75" t="s">
        <v>544</v>
      </c>
      <c r="C599" s="14" t="s">
        <v>806</v>
      </c>
      <c r="D599" s="214"/>
      <c r="E599" s="14" t="s">
        <v>807</v>
      </c>
      <c r="F599" s="143" t="str">
        <f>IF(wskakunin_kanri2_JIMU_NO="","",wskakunin_kanri2_JIMU_NO)</f>
        <v/>
      </c>
      <c r="G599" s="15"/>
      <c r="H599" s="15"/>
    </row>
    <row r="600" spans="1:8" ht="15" customHeight="1">
      <c r="A600" s="58"/>
      <c r="B600" s="69" t="s">
        <v>24</v>
      </c>
      <c r="C600" s="14" t="s">
        <v>808</v>
      </c>
      <c r="D600" s="143"/>
      <c r="E600" s="14" t="s">
        <v>809</v>
      </c>
      <c r="F600" s="143" t="str">
        <f>IF(wskakunin_kanri2_JIMU_NAME="", "", wskakunin_kanri2_JIMU_NAME)</f>
        <v/>
      </c>
      <c r="G600" s="15"/>
      <c r="H600" s="15"/>
    </row>
    <row r="601" spans="1:8" ht="15" customHeight="1">
      <c r="A601" s="58"/>
      <c r="B601" s="69" t="s">
        <v>20</v>
      </c>
      <c r="C601" s="14" t="s">
        <v>810</v>
      </c>
      <c r="D601" s="214"/>
      <c r="E601" s="14" t="s">
        <v>811</v>
      </c>
      <c r="F601" s="143" t="str">
        <f>IF(wskakunin_kanri2_ZIP="", "", wskakunin_kanri2_ZIP)</f>
        <v/>
      </c>
      <c r="G601" s="15"/>
      <c r="H601" s="15"/>
    </row>
    <row r="602" spans="1:8" ht="15" customHeight="1">
      <c r="A602" s="58"/>
      <c r="B602" s="69" t="s">
        <v>25</v>
      </c>
      <c r="C602" s="14" t="s">
        <v>812</v>
      </c>
      <c r="D602" s="143"/>
      <c r="E602" s="14" t="s">
        <v>813</v>
      </c>
      <c r="F602" s="143" t="str">
        <f>IF(wskakunin_kanri2__address="", "", wskakunin_kanri2__address)</f>
        <v/>
      </c>
      <c r="G602" s="15"/>
      <c r="H602" s="15"/>
    </row>
    <row r="603" spans="1:8" ht="15" customHeight="1">
      <c r="A603" s="58"/>
      <c r="B603" s="69" t="s">
        <v>22</v>
      </c>
      <c r="C603" s="14" t="s">
        <v>814</v>
      </c>
      <c r="D603" s="214"/>
      <c r="E603" s="14" t="s">
        <v>815</v>
      </c>
      <c r="F603" s="143" t="str">
        <f>IF(wskakunin_kanri2_TEL="", "", wskakunin_kanri2_TEL)</f>
        <v/>
      </c>
      <c r="G603" s="15"/>
      <c r="H603" s="15"/>
    </row>
    <row r="604" spans="1:8" ht="15" customHeight="1">
      <c r="A604" s="58"/>
      <c r="B604" s="69" t="s">
        <v>590</v>
      </c>
      <c r="C604" s="14" t="s">
        <v>816</v>
      </c>
      <c r="D604" s="214"/>
      <c r="E604" s="14" t="s">
        <v>817</v>
      </c>
      <c r="F604" s="143" t="str">
        <f>IF(wskakunin_kanri2_DOC="","",wskakunin_kanri2_DOC)</f>
        <v/>
      </c>
      <c r="G604" s="15"/>
      <c r="H604" s="15"/>
    </row>
    <row r="605" spans="1:8" ht="15" customHeight="1">
      <c r="A605" s="102"/>
      <c r="B605" s="72"/>
      <c r="G605" s="15"/>
      <c r="H605" s="15"/>
    </row>
    <row r="606" spans="1:8" ht="15" customHeight="1">
      <c r="A606" s="43" t="s">
        <v>612</v>
      </c>
      <c r="B606" s="42" t="s">
        <v>1903</v>
      </c>
      <c r="G606" s="15"/>
      <c r="H606" s="15"/>
    </row>
    <row r="607" spans="1:8" ht="15" customHeight="1">
      <c r="A607" s="25"/>
      <c r="B607" s="69" t="s">
        <v>540</v>
      </c>
      <c r="C607" s="14" t="s">
        <v>818</v>
      </c>
      <c r="D607" s="143"/>
      <c r="E607" s="14" t="s">
        <v>819</v>
      </c>
      <c r="F607" s="143" t="str">
        <f>IF(wskakunin_kanri3__sikaku="", "", wskakunin_kanri3__sikaku)</f>
        <v/>
      </c>
      <c r="G607" s="15"/>
      <c r="H607" s="15"/>
    </row>
    <row r="608" spans="1:8" ht="15" customHeight="1">
      <c r="A608" s="25"/>
      <c r="B608" s="69" t="s">
        <v>541</v>
      </c>
      <c r="C608" s="14" t="s">
        <v>820</v>
      </c>
      <c r="D608" s="143"/>
      <c r="E608" s="14" t="s">
        <v>1405</v>
      </c>
      <c r="F608" s="143" t="str">
        <f>IF(wskakunin_kanri3_SIKAKU__label="", "", wskakunin_kanri3_SIKAKU__label)</f>
        <v/>
      </c>
      <c r="G608" s="15"/>
      <c r="H608" s="15"/>
    </row>
    <row r="609" spans="1:8" ht="15" customHeight="1">
      <c r="A609" s="30"/>
      <c r="B609" s="75" t="s">
        <v>536</v>
      </c>
      <c r="C609" s="14" t="s">
        <v>1333</v>
      </c>
      <c r="D609" s="143"/>
      <c r="E609" s="14" t="s">
        <v>821</v>
      </c>
      <c r="F609" s="143" t="str">
        <f>IF(wskakunin_kanri3_TOUROKU_KIKAN__label="","",wskakunin_kanri3_TOUROKU_KIKAN__label)</f>
        <v/>
      </c>
      <c r="G609" s="15"/>
      <c r="H609" s="15"/>
    </row>
    <row r="610" spans="1:8" ht="15" customHeight="1">
      <c r="A610" s="30"/>
      <c r="B610" s="75" t="s">
        <v>537</v>
      </c>
      <c r="C610" s="14" t="s">
        <v>822</v>
      </c>
      <c r="D610" s="214"/>
      <c r="E610" s="14" t="s">
        <v>823</v>
      </c>
      <c r="F610" s="143" t="str">
        <f>IF(wskakunin_kanri3_KENTIKUSI_NO="","",wskakunin_kanri3_KENTIKUSI_NO)</f>
        <v/>
      </c>
      <c r="G610" s="15"/>
      <c r="H610" s="15"/>
    </row>
    <row r="611" spans="1:8" ht="15" customHeight="1">
      <c r="A611" s="58"/>
      <c r="B611" s="69" t="s">
        <v>19</v>
      </c>
      <c r="C611" s="14" t="s">
        <v>824</v>
      </c>
      <c r="D611" s="143"/>
      <c r="E611" s="14" t="s">
        <v>825</v>
      </c>
      <c r="F611" s="143" t="str">
        <f>IF(wskakunin_kanri3_NAME="", "", wskakunin_kanri3_NAME)</f>
        <v/>
      </c>
      <c r="G611" s="15"/>
      <c r="H611" s="15"/>
    </row>
    <row r="612" spans="1:8" ht="15" customHeight="1">
      <c r="A612" s="58"/>
      <c r="B612" s="69" t="s">
        <v>542</v>
      </c>
      <c r="C612" s="14" t="s">
        <v>826</v>
      </c>
      <c r="D612" s="143"/>
      <c r="E612" s="14" t="s">
        <v>827</v>
      </c>
      <c r="F612" s="143" t="str">
        <f>IF(wskakunin_kanri3_JIMU__sikaku="", "", wskakunin_kanri3_JIMU__sikaku)</f>
        <v/>
      </c>
      <c r="G612" s="15"/>
      <c r="H612" s="15"/>
    </row>
    <row r="613" spans="1:8" ht="15" customHeight="1">
      <c r="A613" s="42"/>
      <c r="B613" s="75" t="s">
        <v>23</v>
      </c>
      <c r="C613" s="14" t="s">
        <v>828</v>
      </c>
      <c r="D613" s="143"/>
      <c r="E613" s="14" t="s">
        <v>1406</v>
      </c>
      <c r="F613" s="143" t="str">
        <f>IF(wskakunin_kanri3_JIMU_SIKAKU__label="","",wskakunin_kanri3_JIMU_SIKAKU__label)</f>
        <v/>
      </c>
      <c r="G613" s="15"/>
      <c r="H613" s="15"/>
    </row>
    <row r="614" spans="1:8" ht="15" customHeight="1">
      <c r="A614" s="42"/>
      <c r="B614" s="75" t="s">
        <v>543</v>
      </c>
      <c r="C614" s="14" t="s">
        <v>1334</v>
      </c>
      <c r="D614" s="143"/>
      <c r="E614" s="14" t="s">
        <v>829</v>
      </c>
      <c r="F614" s="143" t="str">
        <f>IF(wskakunin_kanri3_JIMU_TOUROKU_KIKAN__label="","",wskakunin_kanri3_JIMU_TOUROKU_KIKAN__label)</f>
        <v/>
      </c>
      <c r="G614" s="15"/>
      <c r="H614" s="15"/>
    </row>
    <row r="615" spans="1:8" ht="15" customHeight="1">
      <c r="A615" s="42"/>
      <c r="B615" s="75" t="s">
        <v>544</v>
      </c>
      <c r="C615" s="14" t="s">
        <v>830</v>
      </c>
      <c r="D615" s="214"/>
      <c r="E615" s="14" t="s">
        <v>831</v>
      </c>
      <c r="F615" s="143" t="str">
        <f>IF(wskakunin_kanri3_JIMU_NO="","",wskakunin_kanri3_JIMU_NO)</f>
        <v/>
      </c>
      <c r="G615" s="15"/>
      <c r="H615" s="15"/>
    </row>
    <row r="616" spans="1:8" ht="15" customHeight="1">
      <c r="A616" s="58"/>
      <c r="B616" s="69" t="s">
        <v>24</v>
      </c>
      <c r="C616" s="14" t="s">
        <v>832</v>
      </c>
      <c r="D616" s="143"/>
      <c r="E616" s="14" t="s">
        <v>833</v>
      </c>
      <c r="F616" s="143" t="str">
        <f>IF(wskakunin_kanri3_JIMU_NAME="", "", wskakunin_kanri3_JIMU_NAME)</f>
        <v/>
      </c>
      <c r="G616" s="15"/>
      <c r="H616" s="15"/>
    </row>
    <row r="617" spans="1:8" ht="15" customHeight="1">
      <c r="A617" s="58"/>
      <c r="B617" s="69" t="s">
        <v>20</v>
      </c>
      <c r="C617" s="14" t="s">
        <v>834</v>
      </c>
      <c r="D617" s="214"/>
      <c r="E617" s="14" t="s">
        <v>835</v>
      </c>
      <c r="F617" s="143" t="str">
        <f>IF(wskakunin_kanri3_ZIP="", "", wskakunin_kanri3_ZIP)</f>
        <v/>
      </c>
      <c r="G617" s="15"/>
      <c r="H617" s="15"/>
    </row>
    <row r="618" spans="1:8" ht="15" customHeight="1">
      <c r="A618" s="58"/>
      <c r="B618" s="69" t="s">
        <v>25</v>
      </c>
      <c r="C618" s="14" t="s">
        <v>836</v>
      </c>
      <c r="D618" s="143"/>
      <c r="E618" s="14" t="s">
        <v>837</v>
      </c>
      <c r="F618" s="143" t="str">
        <f>IF(wskakunin_kanri3__address="", "", wskakunin_kanri3__address)</f>
        <v/>
      </c>
      <c r="G618" s="15"/>
      <c r="H618" s="15"/>
    </row>
    <row r="619" spans="1:8" ht="15" customHeight="1">
      <c r="A619" s="58"/>
      <c r="B619" s="69" t="s">
        <v>22</v>
      </c>
      <c r="C619" s="14" t="s">
        <v>838</v>
      </c>
      <c r="D619" s="214"/>
      <c r="E619" s="14" t="s">
        <v>839</v>
      </c>
      <c r="F619" s="143" t="str">
        <f>IF(wskakunin_kanri3_TEL="", "", wskakunin_kanri3_TEL)</f>
        <v/>
      </c>
      <c r="G619" s="15"/>
      <c r="H619" s="15"/>
    </row>
    <row r="620" spans="1:8" ht="15" customHeight="1">
      <c r="A620" s="58"/>
      <c r="B620" s="69" t="s">
        <v>590</v>
      </c>
      <c r="C620" s="14" t="s">
        <v>840</v>
      </c>
      <c r="D620" s="214"/>
      <c r="E620" s="14" t="s">
        <v>841</v>
      </c>
      <c r="F620" s="143" t="str">
        <f>IF(wskakunin_kanri3_DOC="","",wskakunin_kanri3_DOC)</f>
        <v/>
      </c>
      <c r="G620" s="15"/>
      <c r="H620" s="15"/>
    </row>
    <row r="621" spans="1:8" ht="15" customHeight="1">
      <c r="A621" s="42"/>
      <c r="B621" s="72"/>
      <c r="G621" s="15"/>
      <c r="H621" s="15"/>
    </row>
    <row r="622" spans="1:8" ht="15" customHeight="1">
      <c r="A622" s="43" t="s">
        <v>613</v>
      </c>
      <c r="B622" s="42" t="s">
        <v>1903</v>
      </c>
      <c r="G622" s="15"/>
      <c r="H622" s="15"/>
    </row>
    <row r="623" spans="1:8" ht="15" customHeight="1">
      <c r="A623" s="25"/>
      <c r="B623" s="69" t="s">
        <v>540</v>
      </c>
      <c r="C623" s="14" t="s">
        <v>842</v>
      </c>
      <c r="D623" s="143"/>
      <c r="E623" s="14" t="s">
        <v>843</v>
      </c>
      <c r="F623" s="143" t="str">
        <f>IF(wskakunin_kanri4__sikaku="", "", wskakunin_kanri4__sikaku)</f>
        <v/>
      </c>
      <c r="G623" s="15"/>
      <c r="H623" s="15"/>
    </row>
    <row r="624" spans="1:8" ht="15" customHeight="1">
      <c r="A624" s="25"/>
      <c r="B624" s="69" t="s">
        <v>541</v>
      </c>
      <c r="C624" s="14" t="s">
        <v>844</v>
      </c>
      <c r="D624" s="143"/>
      <c r="E624" s="14" t="s">
        <v>1407</v>
      </c>
      <c r="F624" s="143" t="str">
        <f>IF(wskakunin_kanri4_SIKAKU__label="", "", wskakunin_kanri4_SIKAKU__label)</f>
        <v/>
      </c>
      <c r="G624" s="15"/>
      <c r="H624" s="15"/>
    </row>
    <row r="625" spans="1:8" ht="15" customHeight="1">
      <c r="A625" s="30"/>
      <c r="B625" s="75" t="s">
        <v>536</v>
      </c>
      <c r="C625" s="14" t="s">
        <v>1335</v>
      </c>
      <c r="D625" s="143"/>
      <c r="E625" s="14" t="s">
        <v>845</v>
      </c>
      <c r="F625" s="143" t="str">
        <f>IF(wskakunin_kanri4_TOUROKU_KIKAN__label="","",wskakunin_kanri4_TOUROKU_KIKAN__label)</f>
        <v/>
      </c>
      <c r="G625" s="15"/>
      <c r="H625" s="15"/>
    </row>
    <row r="626" spans="1:8" ht="15" customHeight="1">
      <c r="A626" s="30"/>
      <c r="B626" s="75" t="s">
        <v>537</v>
      </c>
      <c r="C626" s="14" t="s">
        <v>846</v>
      </c>
      <c r="D626" s="214"/>
      <c r="E626" s="14" t="s">
        <v>847</v>
      </c>
      <c r="F626" s="143" t="str">
        <f>IF(wskakunin_kanri4_KENTIKUSI_NO="","",wskakunin_kanri4_KENTIKUSI_NO)</f>
        <v/>
      </c>
      <c r="G626" s="15"/>
      <c r="H626" s="15"/>
    </row>
    <row r="627" spans="1:8" ht="15" customHeight="1">
      <c r="A627" s="58"/>
      <c r="B627" s="69" t="s">
        <v>19</v>
      </c>
      <c r="C627" s="14" t="s">
        <v>848</v>
      </c>
      <c r="D627" s="143"/>
      <c r="E627" s="14" t="s">
        <v>849</v>
      </c>
      <c r="F627" s="143" t="str">
        <f>IF(wskakunin_kanri4_NAME="", "", wskakunin_kanri4_NAME)</f>
        <v/>
      </c>
      <c r="G627" s="15"/>
      <c r="H627" s="15"/>
    </row>
    <row r="628" spans="1:8" ht="15" customHeight="1">
      <c r="A628" s="58"/>
      <c r="B628" s="69" t="s">
        <v>542</v>
      </c>
      <c r="C628" s="14" t="s">
        <v>850</v>
      </c>
      <c r="D628" s="143"/>
      <c r="E628" s="14" t="s">
        <v>851</v>
      </c>
      <c r="F628" s="143" t="str">
        <f>IF(wskakunin_kanri4_JIMU__sikaku="", "", wskakunin_kanri4_JIMU__sikaku)</f>
        <v/>
      </c>
      <c r="G628" s="15"/>
      <c r="H628" s="15"/>
    </row>
    <row r="629" spans="1:8" ht="15" customHeight="1">
      <c r="A629" s="42"/>
      <c r="B629" s="75" t="s">
        <v>23</v>
      </c>
      <c r="C629" s="14" t="s">
        <v>852</v>
      </c>
      <c r="D629" s="143"/>
      <c r="E629" s="14" t="s">
        <v>1400</v>
      </c>
      <c r="F629" s="143" t="str">
        <f>IF(wskakunin_kanri4_JIMU_SIKAKU__label="","",wskakunin_kanri4_JIMU_SIKAKU__label)</f>
        <v/>
      </c>
      <c r="G629" s="15"/>
      <c r="H629" s="15"/>
    </row>
    <row r="630" spans="1:8" ht="15" customHeight="1">
      <c r="A630" s="42"/>
      <c r="B630" s="75" t="s">
        <v>543</v>
      </c>
      <c r="C630" s="14" t="s">
        <v>1336</v>
      </c>
      <c r="D630" s="143"/>
      <c r="E630" s="14" t="s">
        <v>853</v>
      </c>
      <c r="F630" s="143" t="str">
        <f>IF(wskakunin_kanri4_JIMU_TOUROKU_KIKAN__label="","",wskakunin_kanri4_JIMU_TOUROKU_KIKAN__label)</f>
        <v/>
      </c>
      <c r="G630" s="15"/>
      <c r="H630" s="15"/>
    </row>
    <row r="631" spans="1:8" ht="15" customHeight="1">
      <c r="A631" s="42"/>
      <c r="B631" s="75" t="s">
        <v>544</v>
      </c>
      <c r="C631" s="14" t="s">
        <v>854</v>
      </c>
      <c r="D631" s="214"/>
      <c r="E631" s="14" t="s">
        <v>855</v>
      </c>
      <c r="F631" s="143" t="str">
        <f>IF(wskakunin_kanri4_JIMU_NO="","",wskakunin_kanri4_JIMU_NO)</f>
        <v/>
      </c>
      <c r="G631" s="15"/>
      <c r="H631" s="15"/>
    </row>
    <row r="632" spans="1:8" ht="15" customHeight="1">
      <c r="A632" s="58"/>
      <c r="B632" s="69" t="s">
        <v>24</v>
      </c>
      <c r="C632" s="14" t="s">
        <v>856</v>
      </c>
      <c r="D632" s="143"/>
      <c r="E632" s="14" t="s">
        <v>857</v>
      </c>
      <c r="F632" s="143" t="str">
        <f>IF(wskakunin_kanri4_JIMU_NAME="", "", wskakunin_kanri4_JIMU_NAME)</f>
        <v/>
      </c>
      <c r="G632" s="15"/>
      <c r="H632" s="15"/>
    </row>
    <row r="633" spans="1:8" ht="15" customHeight="1">
      <c r="A633" s="58"/>
      <c r="B633" s="69" t="s">
        <v>20</v>
      </c>
      <c r="C633" s="14" t="s">
        <v>858</v>
      </c>
      <c r="D633" s="214"/>
      <c r="E633" s="14" t="s">
        <v>859</v>
      </c>
      <c r="F633" s="143" t="str">
        <f>IF(wskakunin_kanri4_ZIP="", "", wskakunin_kanri4_ZIP)</f>
        <v/>
      </c>
      <c r="G633" s="15"/>
      <c r="H633" s="15"/>
    </row>
    <row r="634" spans="1:8" ht="15" customHeight="1">
      <c r="A634" s="58"/>
      <c r="B634" s="69" t="s">
        <v>25</v>
      </c>
      <c r="C634" s="14" t="s">
        <v>860</v>
      </c>
      <c r="D634" s="143"/>
      <c r="E634" s="14" t="s">
        <v>861</v>
      </c>
      <c r="F634" s="143" t="str">
        <f>IF(wskakunin_kanri4__address="", "", wskakunin_kanri4__address)</f>
        <v/>
      </c>
      <c r="G634" s="15"/>
      <c r="H634" s="15"/>
    </row>
    <row r="635" spans="1:8" ht="15" customHeight="1">
      <c r="A635" s="58"/>
      <c r="B635" s="69" t="s">
        <v>22</v>
      </c>
      <c r="C635" s="14" t="s">
        <v>862</v>
      </c>
      <c r="D635" s="214"/>
      <c r="E635" s="14" t="s">
        <v>863</v>
      </c>
      <c r="F635" s="143" t="str">
        <f>IF(wskakunin_kanri4_TEL="", "", wskakunin_kanri4_TEL)</f>
        <v/>
      </c>
      <c r="G635" s="15"/>
      <c r="H635" s="15"/>
    </row>
    <row r="636" spans="1:8" ht="15" customHeight="1">
      <c r="A636" s="58"/>
      <c r="B636" s="69" t="s">
        <v>590</v>
      </c>
      <c r="C636" s="14" t="s">
        <v>864</v>
      </c>
      <c r="D636" s="214"/>
      <c r="E636" s="14" t="s">
        <v>865</v>
      </c>
      <c r="F636" s="143" t="str">
        <f>IF(wskakunin_kanri4_DOC="","",wskakunin_kanri4_DOC)</f>
        <v/>
      </c>
      <c r="G636" s="15"/>
      <c r="H636" s="15"/>
    </row>
    <row r="637" spans="1:8" ht="15" customHeight="1">
      <c r="A637" s="42"/>
      <c r="B637" s="73"/>
      <c r="G637" s="15"/>
      <c r="H637" s="15"/>
    </row>
    <row r="638" spans="1:8" ht="15" customHeight="1">
      <c r="A638" s="43" t="s">
        <v>2100</v>
      </c>
      <c r="B638" s="42" t="s">
        <v>1903</v>
      </c>
      <c r="G638" s="15"/>
      <c r="H638" s="15"/>
    </row>
    <row r="639" spans="1:8" ht="15" customHeight="1">
      <c r="A639" s="25"/>
      <c r="B639" s="69" t="s">
        <v>540</v>
      </c>
      <c r="C639" s="14" t="s">
        <v>1904</v>
      </c>
      <c r="D639" s="143"/>
      <c r="E639" s="14" t="s">
        <v>1905</v>
      </c>
      <c r="F639" s="143" t="str">
        <f>IF(wskakunin_kanri5__sikaku="", "", wskakunin_kanri5__sikaku)</f>
        <v/>
      </c>
      <c r="H639" s="15"/>
    </row>
    <row r="640" spans="1:8" ht="15" customHeight="1">
      <c r="A640" s="25"/>
      <c r="B640" s="69" t="s">
        <v>541</v>
      </c>
      <c r="C640" s="14" t="s">
        <v>1906</v>
      </c>
      <c r="D640" s="143"/>
      <c r="E640" s="14" t="s">
        <v>1907</v>
      </c>
      <c r="F640" s="143" t="str">
        <f>IF(wskakunin_kanri5_SIKAKU__label="", "", wskakunin_kanri5_SIKAKU__label)</f>
        <v/>
      </c>
      <c r="H640" s="15"/>
    </row>
    <row r="641" spans="1:8" ht="15" customHeight="1">
      <c r="A641" s="30"/>
      <c r="B641" s="75" t="s">
        <v>536</v>
      </c>
      <c r="C641" s="14" t="s">
        <v>1908</v>
      </c>
      <c r="D641" s="143"/>
      <c r="E641" s="14" t="s">
        <v>1909</v>
      </c>
      <c r="F641" s="143" t="str">
        <f>IF(wskakunin_kanri5_TOUROKU_KIKAN__label="","",wskakunin_kanri5_TOUROKU_KIKAN__label)</f>
        <v/>
      </c>
      <c r="H641" s="15"/>
    </row>
    <row r="642" spans="1:8" ht="15" customHeight="1">
      <c r="A642" s="30"/>
      <c r="B642" s="75" t="s">
        <v>537</v>
      </c>
      <c r="C642" s="14" t="s">
        <v>1910</v>
      </c>
      <c r="D642" s="214"/>
      <c r="E642" s="14" t="s">
        <v>1911</v>
      </c>
      <c r="F642" s="143" t="str">
        <f>IF(wskakunin_kanri5_KENTIKUSI_NO="","",wskakunin_kanri5_KENTIKUSI_NO)</f>
        <v/>
      </c>
      <c r="H642" s="15"/>
    </row>
    <row r="643" spans="1:8" ht="15" customHeight="1">
      <c r="A643" s="58"/>
      <c r="B643" s="69" t="s">
        <v>19</v>
      </c>
      <c r="C643" s="14" t="s">
        <v>1912</v>
      </c>
      <c r="D643" s="143"/>
      <c r="E643" s="14" t="s">
        <v>1913</v>
      </c>
      <c r="F643" s="143" t="str">
        <f>IF(wskakunin_kanri5_NAME="", "", wskakunin_kanri5_NAME)</f>
        <v/>
      </c>
      <c r="H643" s="15"/>
    </row>
    <row r="644" spans="1:8" ht="15" customHeight="1">
      <c r="A644" s="58"/>
      <c r="B644" s="69" t="s">
        <v>542</v>
      </c>
      <c r="C644" s="14" t="s">
        <v>1914</v>
      </c>
      <c r="D644" s="143"/>
      <c r="E644" s="14" t="s">
        <v>1915</v>
      </c>
      <c r="F644" s="143" t="str">
        <f>IF(wskakunin_kanri5_JIMU__sikaku="", "", wskakunin_kanri5_JIMU__sikaku)</f>
        <v/>
      </c>
      <c r="H644" s="15"/>
    </row>
    <row r="645" spans="1:8" ht="15" customHeight="1">
      <c r="A645" s="42"/>
      <c r="B645" s="75" t="s">
        <v>23</v>
      </c>
      <c r="C645" s="14" t="s">
        <v>1916</v>
      </c>
      <c r="D645" s="143"/>
      <c r="E645" s="14" t="s">
        <v>1917</v>
      </c>
      <c r="F645" s="143" t="str">
        <f>IF(wskakunin_kanri5_JIMU_SIKAKU__label="","",wskakunin_kanri5_JIMU_SIKAKU__label)</f>
        <v/>
      </c>
      <c r="H645" s="15"/>
    </row>
    <row r="646" spans="1:8" ht="15" customHeight="1">
      <c r="A646" s="42"/>
      <c r="B646" s="75" t="s">
        <v>543</v>
      </c>
      <c r="C646" s="14" t="s">
        <v>1918</v>
      </c>
      <c r="D646" s="143"/>
      <c r="E646" s="14" t="s">
        <v>1919</v>
      </c>
      <c r="F646" s="143" t="str">
        <f>IF(wskakunin_kanri5_JIMU_TOUROKU_KIKAN__label="","",wskakunin_kanri5_JIMU_TOUROKU_KIKAN__label)</f>
        <v/>
      </c>
      <c r="H646" s="15"/>
    </row>
    <row r="647" spans="1:8" ht="15" customHeight="1">
      <c r="A647" s="42"/>
      <c r="B647" s="75" t="s">
        <v>544</v>
      </c>
      <c r="C647" s="14" t="s">
        <v>1920</v>
      </c>
      <c r="D647" s="214"/>
      <c r="E647" s="14" t="s">
        <v>1921</v>
      </c>
      <c r="F647" s="143" t="str">
        <f>IF(wskakunin_kanri5_JIMU_NO="","",wskakunin_kanri5_JIMU_NO)</f>
        <v/>
      </c>
      <c r="H647" s="15"/>
    </row>
    <row r="648" spans="1:8" ht="15" customHeight="1">
      <c r="A648" s="58"/>
      <c r="B648" s="69" t="s">
        <v>24</v>
      </c>
      <c r="C648" s="14" t="s">
        <v>1922</v>
      </c>
      <c r="D648" s="143"/>
      <c r="E648" s="14" t="s">
        <v>1923</v>
      </c>
      <c r="F648" s="143" t="str">
        <f>IF(wskakunin_kanri5_JIMU_NAME="", "", wskakunin_kanri5_JIMU_NAME)</f>
        <v/>
      </c>
      <c r="H648" s="15"/>
    </row>
    <row r="649" spans="1:8" ht="15" customHeight="1">
      <c r="A649" s="58"/>
      <c r="B649" s="69" t="s">
        <v>20</v>
      </c>
      <c r="C649" s="14" t="s">
        <v>1924</v>
      </c>
      <c r="D649" s="214"/>
      <c r="E649" s="14" t="s">
        <v>1925</v>
      </c>
      <c r="F649" s="143" t="str">
        <f>IF(wskakunin_kanri5_ZIP="", "", wskakunin_kanri5_ZIP)</f>
        <v/>
      </c>
      <c r="H649" s="15"/>
    </row>
    <row r="650" spans="1:8" ht="15" customHeight="1">
      <c r="A650" s="58"/>
      <c r="B650" s="69" t="s">
        <v>25</v>
      </c>
      <c r="C650" s="14" t="s">
        <v>1926</v>
      </c>
      <c r="D650" s="143"/>
      <c r="E650" s="14" t="s">
        <v>1927</v>
      </c>
      <c r="F650" s="143" t="str">
        <f>IF(wskakunin_kanri5__address="", "", wskakunin_kanri5__address)</f>
        <v/>
      </c>
      <c r="H650" s="15"/>
    </row>
    <row r="651" spans="1:8" ht="15" customHeight="1">
      <c r="A651" s="58"/>
      <c r="B651" s="69" t="s">
        <v>22</v>
      </c>
      <c r="C651" s="14" t="s">
        <v>1928</v>
      </c>
      <c r="D651" s="214"/>
      <c r="E651" s="14" t="s">
        <v>1929</v>
      </c>
      <c r="F651" s="143" t="str">
        <f>IF(wskakunin_kanri5_TEL="", "", wskakunin_kanri5_TEL)</f>
        <v/>
      </c>
      <c r="H651" s="15"/>
    </row>
    <row r="652" spans="1:8" ht="15" customHeight="1">
      <c r="A652" s="58"/>
      <c r="B652" s="69" t="s">
        <v>590</v>
      </c>
      <c r="C652" s="14" t="s">
        <v>1930</v>
      </c>
      <c r="D652" s="214"/>
      <c r="E652" s="14" t="s">
        <v>1931</v>
      </c>
      <c r="F652" s="143" t="str">
        <f>IF(wskakunin_kanri5_DOC="","",wskakunin_kanri5_DOC)</f>
        <v/>
      </c>
      <c r="H652" s="15"/>
    </row>
    <row r="653" spans="1:8" ht="15" customHeight="1">
      <c r="A653" s="42"/>
      <c r="B653" s="72"/>
      <c r="H653" s="15"/>
    </row>
    <row r="654" spans="1:8" ht="15" customHeight="1">
      <c r="A654" s="43" t="s">
        <v>2101</v>
      </c>
      <c r="B654" s="42" t="s">
        <v>1903</v>
      </c>
      <c r="H654" s="15"/>
    </row>
    <row r="655" spans="1:8" ht="15" customHeight="1">
      <c r="A655" s="25"/>
      <c r="B655" s="69" t="s">
        <v>540</v>
      </c>
      <c r="C655" s="14" t="s">
        <v>1932</v>
      </c>
      <c r="D655" s="143"/>
      <c r="E655" s="14" t="s">
        <v>1933</v>
      </c>
      <c r="F655" s="143" t="str">
        <f>IF(wskakunin_kanri6__sikaku="", "", wskakunin_kanri6__sikaku)</f>
        <v/>
      </c>
      <c r="H655" s="15"/>
    </row>
    <row r="656" spans="1:8" ht="15" customHeight="1">
      <c r="A656" s="25"/>
      <c r="B656" s="69" t="s">
        <v>541</v>
      </c>
      <c r="C656" s="14" t="s">
        <v>1934</v>
      </c>
      <c r="D656" s="143"/>
      <c r="E656" s="14" t="s">
        <v>1935</v>
      </c>
      <c r="F656" s="143" t="str">
        <f>IF(wskakunin_kanri6_SIKAKU__label="", "", wskakunin_kanri6_SIKAKU__label)</f>
        <v/>
      </c>
      <c r="H656" s="15"/>
    </row>
    <row r="657" spans="1:8" ht="15" customHeight="1">
      <c r="A657" s="30"/>
      <c r="B657" s="75" t="s">
        <v>536</v>
      </c>
      <c r="C657" s="14" t="s">
        <v>1936</v>
      </c>
      <c r="D657" s="143"/>
      <c r="E657" s="14" t="s">
        <v>1937</v>
      </c>
      <c r="F657" s="143" t="str">
        <f>IF(wskakunin_kanri6_TOUROKU_KIKAN__label="","",wskakunin_kanri6_TOUROKU_KIKAN__label)</f>
        <v/>
      </c>
      <c r="H657" s="15"/>
    </row>
    <row r="658" spans="1:8" ht="15" customHeight="1">
      <c r="A658" s="30"/>
      <c r="B658" s="75" t="s">
        <v>537</v>
      </c>
      <c r="C658" s="14" t="s">
        <v>1938</v>
      </c>
      <c r="D658" s="214"/>
      <c r="E658" s="14" t="s">
        <v>1939</v>
      </c>
      <c r="F658" s="143" t="str">
        <f>IF(wskakunin_kanri6_KENTIKUSI_NO="","",wskakunin_kanri6_KENTIKUSI_NO)</f>
        <v/>
      </c>
      <c r="H658" s="15"/>
    </row>
    <row r="659" spans="1:8" ht="15" customHeight="1">
      <c r="A659" s="58"/>
      <c r="B659" s="69" t="s">
        <v>19</v>
      </c>
      <c r="C659" s="14" t="s">
        <v>1940</v>
      </c>
      <c r="D659" s="143"/>
      <c r="E659" s="14" t="s">
        <v>1941</v>
      </c>
      <c r="F659" s="143" t="str">
        <f>IF(wskakunin_kanri6_NAME="", "", wskakunin_kanri6_NAME)</f>
        <v/>
      </c>
      <c r="H659" s="15"/>
    </row>
    <row r="660" spans="1:8" ht="15" customHeight="1">
      <c r="A660" s="58"/>
      <c r="B660" s="69" t="s">
        <v>542</v>
      </c>
      <c r="C660" s="14" t="s">
        <v>1942</v>
      </c>
      <c r="D660" s="143"/>
      <c r="E660" s="14" t="s">
        <v>1943</v>
      </c>
      <c r="F660" s="143" t="str">
        <f>IF(wskakunin_kanri6_JIMU__sikaku="", "", wskakunin_kanri6_JIMU__sikaku)</f>
        <v/>
      </c>
      <c r="H660" s="15"/>
    </row>
    <row r="661" spans="1:8" ht="15" customHeight="1">
      <c r="A661" s="42"/>
      <c r="B661" s="75" t="s">
        <v>23</v>
      </c>
      <c r="C661" s="14" t="s">
        <v>1944</v>
      </c>
      <c r="D661" s="143"/>
      <c r="E661" s="14" t="s">
        <v>1945</v>
      </c>
      <c r="F661" s="143" t="str">
        <f>IF(wskakunin_kanri6_JIMU_SIKAKU__label="","",wskakunin_kanri6_JIMU_SIKAKU__label)</f>
        <v/>
      </c>
      <c r="H661" s="15"/>
    </row>
    <row r="662" spans="1:8" ht="15" customHeight="1">
      <c r="A662" s="42"/>
      <c r="B662" s="75" t="s">
        <v>543</v>
      </c>
      <c r="C662" s="14" t="s">
        <v>1946</v>
      </c>
      <c r="D662" s="143"/>
      <c r="E662" s="14" t="s">
        <v>1947</v>
      </c>
      <c r="F662" s="143" t="str">
        <f>IF(wskakunin_kanri6_JIMU_TOUROKU_KIKAN__label="","",wskakunin_kanri6_JIMU_TOUROKU_KIKAN__label)</f>
        <v/>
      </c>
      <c r="H662" s="15"/>
    </row>
    <row r="663" spans="1:8" ht="15" customHeight="1">
      <c r="A663" s="42"/>
      <c r="B663" s="75" t="s">
        <v>544</v>
      </c>
      <c r="C663" s="14" t="s">
        <v>1948</v>
      </c>
      <c r="D663" s="214"/>
      <c r="E663" s="14" t="s">
        <v>1949</v>
      </c>
      <c r="F663" s="143" t="str">
        <f>IF(wskakunin_kanri6_JIMU_NO="","",wskakunin_kanri6_JIMU_NO)</f>
        <v/>
      </c>
      <c r="H663" s="15"/>
    </row>
    <row r="664" spans="1:8" ht="15" customHeight="1">
      <c r="A664" s="58"/>
      <c r="B664" s="69" t="s">
        <v>24</v>
      </c>
      <c r="C664" s="14" t="s">
        <v>1950</v>
      </c>
      <c r="D664" s="143"/>
      <c r="E664" s="14" t="s">
        <v>1951</v>
      </c>
      <c r="F664" s="143" t="str">
        <f>IF(wskakunin_kanri6_JIMU_NAME="", "", wskakunin_kanri6_JIMU_NAME)</f>
        <v/>
      </c>
      <c r="H664" s="15"/>
    </row>
    <row r="665" spans="1:8" ht="15" customHeight="1">
      <c r="A665" s="58"/>
      <c r="B665" s="69" t="s">
        <v>20</v>
      </c>
      <c r="C665" s="14" t="s">
        <v>1952</v>
      </c>
      <c r="D665" s="214"/>
      <c r="E665" s="14" t="s">
        <v>1953</v>
      </c>
      <c r="F665" s="143" t="str">
        <f>IF(wskakunin_kanri6_ZIP="", "", wskakunin_kanri6_ZIP)</f>
        <v/>
      </c>
      <c r="H665" s="15"/>
    </row>
    <row r="666" spans="1:8" ht="15" customHeight="1">
      <c r="A666" s="58"/>
      <c r="B666" s="69" t="s">
        <v>25</v>
      </c>
      <c r="C666" s="14" t="s">
        <v>1954</v>
      </c>
      <c r="D666" s="143"/>
      <c r="E666" s="14" t="s">
        <v>1955</v>
      </c>
      <c r="F666" s="143" t="str">
        <f>IF(wskakunin_kanri6__address="", "", wskakunin_kanri6__address)</f>
        <v/>
      </c>
      <c r="H666" s="15"/>
    </row>
    <row r="667" spans="1:8" ht="15" customHeight="1">
      <c r="A667" s="58"/>
      <c r="B667" s="69" t="s">
        <v>22</v>
      </c>
      <c r="C667" s="14" t="s">
        <v>1956</v>
      </c>
      <c r="D667" s="214"/>
      <c r="E667" s="14" t="s">
        <v>1957</v>
      </c>
      <c r="F667" s="143" t="str">
        <f>IF(wskakunin_kanri6_TEL="", "", wskakunin_kanri6_TEL)</f>
        <v/>
      </c>
      <c r="H667" s="15"/>
    </row>
    <row r="668" spans="1:8" ht="15" customHeight="1">
      <c r="A668" s="58"/>
      <c r="B668" s="69" t="s">
        <v>590</v>
      </c>
      <c r="C668" s="14" t="s">
        <v>1958</v>
      </c>
      <c r="D668" s="214"/>
      <c r="E668" s="14" t="s">
        <v>1959</v>
      </c>
      <c r="F668" s="143" t="str">
        <f>IF(wskakunin_kanri6_DOC="","",wskakunin_kanri6_DOC)</f>
        <v/>
      </c>
      <c r="H668" s="15"/>
    </row>
    <row r="669" spans="1:8" ht="15" customHeight="1">
      <c r="A669" s="42"/>
      <c r="B669" s="72"/>
      <c r="H669" s="15"/>
    </row>
    <row r="670" spans="1:8" ht="15" customHeight="1">
      <c r="A670" s="43" t="s">
        <v>2102</v>
      </c>
      <c r="B670" s="42" t="s">
        <v>1903</v>
      </c>
      <c r="H670" s="15"/>
    </row>
    <row r="671" spans="1:8" ht="15" customHeight="1">
      <c r="A671" s="25"/>
      <c r="B671" s="69" t="s">
        <v>540</v>
      </c>
      <c r="C671" s="14" t="s">
        <v>1960</v>
      </c>
      <c r="D671" s="143"/>
      <c r="E671" s="14" t="s">
        <v>1961</v>
      </c>
      <c r="F671" s="143" t="str">
        <f>IF(wskakunin_kanri7__sikaku="", "", wskakunin_kanri7__sikaku)</f>
        <v/>
      </c>
      <c r="H671" s="15"/>
    </row>
    <row r="672" spans="1:8" ht="15" customHeight="1">
      <c r="A672" s="25"/>
      <c r="B672" s="69" t="s">
        <v>541</v>
      </c>
      <c r="C672" s="14" t="s">
        <v>1962</v>
      </c>
      <c r="D672" s="143"/>
      <c r="E672" s="14" t="s">
        <v>1963</v>
      </c>
      <c r="F672" s="143" t="str">
        <f>IF(wskakunin_kanri7_SIKAKU__label="", "", wskakunin_kanri7_SIKAKU__label)</f>
        <v/>
      </c>
      <c r="H672" s="15"/>
    </row>
    <row r="673" spans="1:8" ht="15" customHeight="1">
      <c r="A673" s="30"/>
      <c r="B673" s="75" t="s">
        <v>536</v>
      </c>
      <c r="C673" s="14" t="s">
        <v>1964</v>
      </c>
      <c r="D673" s="143"/>
      <c r="E673" s="14" t="s">
        <v>1965</v>
      </c>
      <c r="F673" s="143" t="str">
        <f>IF(wskakunin_kanri7_TOUROKU_KIKAN__label="","",wskakunin_kanri7_TOUROKU_KIKAN__label)</f>
        <v/>
      </c>
      <c r="H673" s="15"/>
    </row>
    <row r="674" spans="1:8" ht="15" customHeight="1">
      <c r="A674" s="30"/>
      <c r="B674" s="75" t="s">
        <v>537</v>
      </c>
      <c r="C674" s="14" t="s">
        <v>1966</v>
      </c>
      <c r="D674" s="214"/>
      <c r="E674" s="14" t="s">
        <v>1967</v>
      </c>
      <c r="F674" s="143" t="str">
        <f>IF(wskakunin_kanri7_KENTIKUSI_NO="","",wskakunin_kanri7_KENTIKUSI_NO)</f>
        <v/>
      </c>
      <c r="H674" s="15"/>
    </row>
    <row r="675" spans="1:8" ht="15" customHeight="1">
      <c r="A675" s="58"/>
      <c r="B675" s="69" t="s">
        <v>19</v>
      </c>
      <c r="C675" s="14" t="s">
        <v>1968</v>
      </c>
      <c r="D675" s="143"/>
      <c r="E675" s="14" t="s">
        <v>1969</v>
      </c>
      <c r="F675" s="143" t="str">
        <f>IF(wskakunin_kanri7_NAME="", "", wskakunin_kanri7_NAME)</f>
        <v/>
      </c>
      <c r="H675" s="15"/>
    </row>
    <row r="676" spans="1:8" ht="15" customHeight="1">
      <c r="A676" s="58"/>
      <c r="B676" s="69" t="s">
        <v>542</v>
      </c>
      <c r="C676" s="14" t="s">
        <v>1970</v>
      </c>
      <c r="D676" s="143"/>
      <c r="E676" s="14" t="s">
        <v>1971</v>
      </c>
      <c r="F676" s="143" t="str">
        <f>IF(wskakunin_kanri7_JIMU__sikaku="", "", wskakunin_kanri7_JIMU__sikaku)</f>
        <v/>
      </c>
      <c r="H676" s="15"/>
    </row>
    <row r="677" spans="1:8" ht="15" customHeight="1">
      <c r="A677" s="42"/>
      <c r="B677" s="75" t="s">
        <v>23</v>
      </c>
      <c r="C677" s="14" t="s">
        <v>1972</v>
      </c>
      <c r="D677" s="143"/>
      <c r="E677" s="14" t="s">
        <v>1973</v>
      </c>
      <c r="F677" s="143" t="str">
        <f>IF(wskakunin_kanri7_JIMU_SIKAKU__label="","",wskakunin_kanri7_JIMU_SIKAKU__label)</f>
        <v/>
      </c>
      <c r="H677" s="15"/>
    </row>
    <row r="678" spans="1:8" ht="15" customHeight="1">
      <c r="A678" s="42"/>
      <c r="B678" s="75" t="s">
        <v>543</v>
      </c>
      <c r="C678" s="14" t="s">
        <v>1974</v>
      </c>
      <c r="D678" s="143"/>
      <c r="E678" s="14" t="s">
        <v>1975</v>
      </c>
      <c r="F678" s="143" t="str">
        <f>IF(wskakunin_kanri7_JIMU_TOUROKU_KIKAN__label="","",wskakunin_kanri7_JIMU_TOUROKU_KIKAN__label)</f>
        <v/>
      </c>
      <c r="H678" s="15"/>
    </row>
    <row r="679" spans="1:8" ht="15" customHeight="1">
      <c r="A679" s="42"/>
      <c r="B679" s="75" t="s">
        <v>544</v>
      </c>
      <c r="C679" s="14" t="s">
        <v>1976</v>
      </c>
      <c r="D679" s="214"/>
      <c r="E679" s="14" t="s">
        <v>1977</v>
      </c>
      <c r="F679" s="143" t="str">
        <f>IF(wskakunin_kanri7_JIMU_NO="","",wskakunin_kanri7_JIMU_NO)</f>
        <v/>
      </c>
      <c r="H679" s="15"/>
    </row>
    <row r="680" spans="1:8" ht="15" customHeight="1">
      <c r="A680" s="58"/>
      <c r="B680" s="69" t="s">
        <v>24</v>
      </c>
      <c r="C680" s="14" t="s">
        <v>1978</v>
      </c>
      <c r="D680" s="143"/>
      <c r="E680" s="14" t="s">
        <v>1979</v>
      </c>
      <c r="F680" s="143" t="str">
        <f>IF(wskakunin_kanri7_JIMU_NAME="", "", wskakunin_kanri7_JIMU_NAME)</f>
        <v/>
      </c>
      <c r="H680" s="15"/>
    </row>
    <row r="681" spans="1:8" ht="15" customHeight="1">
      <c r="A681" s="58"/>
      <c r="B681" s="69" t="s">
        <v>20</v>
      </c>
      <c r="C681" s="14" t="s">
        <v>1980</v>
      </c>
      <c r="D681" s="214"/>
      <c r="E681" s="14" t="s">
        <v>1981</v>
      </c>
      <c r="F681" s="143" t="str">
        <f>IF(wskakunin_kanri7_ZIP="", "", wskakunin_kanri7_ZIP)</f>
        <v/>
      </c>
      <c r="H681" s="15"/>
    </row>
    <row r="682" spans="1:8" ht="15" customHeight="1">
      <c r="A682" s="58"/>
      <c r="B682" s="69" t="s">
        <v>25</v>
      </c>
      <c r="C682" s="14" t="s">
        <v>1982</v>
      </c>
      <c r="D682" s="143"/>
      <c r="E682" s="14" t="s">
        <v>1983</v>
      </c>
      <c r="F682" s="143" t="str">
        <f>IF(wskakunin_kanri7__address="", "", wskakunin_kanri7__address)</f>
        <v/>
      </c>
      <c r="H682" s="15"/>
    </row>
    <row r="683" spans="1:8" ht="15" customHeight="1">
      <c r="A683" s="58"/>
      <c r="B683" s="69" t="s">
        <v>22</v>
      </c>
      <c r="C683" s="14" t="s">
        <v>1984</v>
      </c>
      <c r="D683" s="214"/>
      <c r="E683" s="14" t="s">
        <v>1985</v>
      </c>
      <c r="F683" s="143" t="str">
        <f>IF(wskakunin_kanri7_TEL="", "", wskakunin_kanri7_TEL)</f>
        <v/>
      </c>
      <c r="H683" s="15"/>
    </row>
    <row r="684" spans="1:8" ht="15" customHeight="1">
      <c r="A684" s="58"/>
      <c r="B684" s="69" t="s">
        <v>590</v>
      </c>
      <c r="C684" s="14" t="s">
        <v>1986</v>
      </c>
      <c r="D684" s="214"/>
      <c r="E684" s="14" t="s">
        <v>1987</v>
      </c>
      <c r="F684" s="143" t="str">
        <f>IF(wskakunin_kanri7_DOC="","",wskakunin_kanri7_DOC)</f>
        <v/>
      </c>
      <c r="H684" s="15"/>
    </row>
    <row r="685" spans="1:8" ht="15" customHeight="1">
      <c r="A685" s="42"/>
      <c r="B685" s="72"/>
      <c r="H685" s="15"/>
    </row>
    <row r="686" spans="1:8" ht="15" customHeight="1">
      <c r="A686" s="43" t="s">
        <v>2103</v>
      </c>
      <c r="B686" s="42" t="s">
        <v>1903</v>
      </c>
      <c r="H686" s="15"/>
    </row>
    <row r="687" spans="1:8" ht="15" customHeight="1">
      <c r="A687" s="25"/>
      <c r="B687" s="69" t="s">
        <v>540</v>
      </c>
      <c r="C687" s="14" t="s">
        <v>1988</v>
      </c>
      <c r="D687" s="143"/>
      <c r="E687" s="14" t="s">
        <v>1989</v>
      </c>
      <c r="F687" s="143" t="str">
        <f>IF(wskakunin_kanri8__sikaku="", "", wskakunin_kanri8__sikaku)</f>
        <v/>
      </c>
      <c r="H687" s="15"/>
    </row>
    <row r="688" spans="1:8" ht="15" customHeight="1">
      <c r="A688" s="25"/>
      <c r="B688" s="69" t="s">
        <v>541</v>
      </c>
      <c r="C688" s="14" t="s">
        <v>1990</v>
      </c>
      <c r="D688" s="143"/>
      <c r="E688" s="14" t="s">
        <v>1991</v>
      </c>
      <c r="F688" s="143" t="str">
        <f>IF(wskakunin_kanri8_SIKAKU__label="", "", wskakunin_kanri8_SIKAKU__label)</f>
        <v/>
      </c>
      <c r="H688" s="15"/>
    </row>
    <row r="689" spans="1:8" ht="15" customHeight="1">
      <c r="A689" s="30"/>
      <c r="B689" s="75" t="s">
        <v>536</v>
      </c>
      <c r="C689" s="14" t="s">
        <v>1992</v>
      </c>
      <c r="D689" s="143"/>
      <c r="E689" s="14" t="s">
        <v>1993</v>
      </c>
      <c r="F689" s="143" t="str">
        <f>IF(wskakunin_kanri8_TOUROKU_KIKAN__label="","",wskakunin_kanri8_TOUROKU_KIKAN__label)</f>
        <v/>
      </c>
      <c r="H689" s="15"/>
    </row>
    <row r="690" spans="1:8" ht="15" customHeight="1">
      <c r="A690" s="30"/>
      <c r="B690" s="75" t="s">
        <v>537</v>
      </c>
      <c r="C690" s="14" t="s">
        <v>1994</v>
      </c>
      <c r="D690" s="214"/>
      <c r="E690" s="14" t="s">
        <v>1995</v>
      </c>
      <c r="F690" s="143" t="str">
        <f>IF(wskakunin_kanri8_KENTIKUSI_NO="","",wskakunin_kanri8_KENTIKUSI_NO)</f>
        <v/>
      </c>
      <c r="H690" s="15"/>
    </row>
    <row r="691" spans="1:8" ht="15" customHeight="1">
      <c r="A691" s="58"/>
      <c r="B691" s="69" t="s">
        <v>19</v>
      </c>
      <c r="C691" s="14" t="s">
        <v>1996</v>
      </c>
      <c r="D691" s="143"/>
      <c r="E691" s="14" t="s">
        <v>1997</v>
      </c>
      <c r="F691" s="143" t="str">
        <f>IF(wskakunin_kanri8_NAME="", "", wskakunin_kanri8_NAME)</f>
        <v/>
      </c>
      <c r="H691" s="15"/>
    </row>
    <row r="692" spans="1:8" ht="15" customHeight="1">
      <c r="A692" s="58"/>
      <c r="B692" s="69" t="s">
        <v>542</v>
      </c>
      <c r="C692" s="14" t="s">
        <v>1998</v>
      </c>
      <c r="D692" s="143"/>
      <c r="E692" s="14" t="s">
        <v>1999</v>
      </c>
      <c r="F692" s="143" t="str">
        <f>IF(wskakunin_kanri8_JIMU__sikaku="", "", wskakunin_kanri8_JIMU__sikaku)</f>
        <v/>
      </c>
      <c r="H692" s="15"/>
    </row>
    <row r="693" spans="1:8" ht="15" customHeight="1">
      <c r="A693" s="42"/>
      <c r="B693" s="75" t="s">
        <v>23</v>
      </c>
      <c r="C693" s="14" t="s">
        <v>2000</v>
      </c>
      <c r="D693" s="143"/>
      <c r="E693" s="14" t="s">
        <v>2001</v>
      </c>
      <c r="F693" s="143" t="str">
        <f>IF(wskakunin_kanri8_JIMU_SIKAKU__label="","",wskakunin_kanri8_JIMU_SIKAKU__label)</f>
        <v/>
      </c>
      <c r="H693" s="15"/>
    </row>
    <row r="694" spans="1:8" ht="15" customHeight="1">
      <c r="A694" s="42"/>
      <c r="B694" s="75" t="s">
        <v>543</v>
      </c>
      <c r="C694" s="14" t="s">
        <v>2002</v>
      </c>
      <c r="D694" s="143"/>
      <c r="E694" s="14" t="s">
        <v>2003</v>
      </c>
      <c r="F694" s="143" t="str">
        <f>IF(wskakunin_kanri8_JIMU_TOUROKU_KIKAN__label="","",wskakunin_kanri8_JIMU_TOUROKU_KIKAN__label)</f>
        <v/>
      </c>
      <c r="H694" s="15"/>
    </row>
    <row r="695" spans="1:8" ht="15" customHeight="1">
      <c r="A695" s="42"/>
      <c r="B695" s="75" t="s">
        <v>544</v>
      </c>
      <c r="C695" s="14" t="s">
        <v>2004</v>
      </c>
      <c r="D695" s="214"/>
      <c r="E695" s="14" t="s">
        <v>2005</v>
      </c>
      <c r="F695" s="143" t="str">
        <f>IF(wskakunin_kanri8_JIMU_NO="","",wskakunin_kanri8_JIMU_NO)</f>
        <v/>
      </c>
      <c r="H695" s="15"/>
    </row>
    <row r="696" spans="1:8" ht="15" customHeight="1">
      <c r="A696" s="58"/>
      <c r="B696" s="69" t="s">
        <v>24</v>
      </c>
      <c r="C696" s="14" t="s">
        <v>2006</v>
      </c>
      <c r="D696" s="143"/>
      <c r="E696" s="14" t="s">
        <v>2007</v>
      </c>
      <c r="F696" s="143" t="str">
        <f>IF(wskakunin_kanri8_JIMU_NAME="", "", wskakunin_kanri8_JIMU_NAME)</f>
        <v/>
      </c>
      <c r="H696" s="15"/>
    </row>
    <row r="697" spans="1:8" ht="15" customHeight="1">
      <c r="A697" s="58"/>
      <c r="B697" s="69" t="s">
        <v>20</v>
      </c>
      <c r="C697" s="14" t="s">
        <v>2008</v>
      </c>
      <c r="D697" s="214"/>
      <c r="E697" s="14" t="s">
        <v>2009</v>
      </c>
      <c r="F697" s="143" t="str">
        <f>IF(wskakunin_kanri8_ZIP="", "", wskakunin_kanri8_ZIP)</f>
        <v/>
      </c>
      <c r="H697" s="15"/>
    </row>
    <row r="698" spans="1:8" ht="15" customHeight="1">
      <c r="A698" s="58"/>
      <c r="B698" s="69" t="s">
        <v>25</v>
      </c>
      <c r="C698" s="14" t="s">
        <v>2010</v>
      </c>
      <c r="D698" s="143"/>
      <c r="E698" s="14" t="s">
        <v>2011</v>
      </c>
      <c r="F698" s="143" t="str">
        <f>IF(wskakunin_kanri8__address="", "", wskakunin_kanri8__address)</f>
        <v/>
      </c>
      <c r="H698" s="15"/>
    </row>
    <row r="699" spans="1:8" ht="15" customHeight="1">
      <c r="A699" s="58"/>
      <c r="B699" s="69" t="s">
        <v>22</v>
      </c>
      <c r="C699" s="14" t="s">
        <v>2012</v>
      </c>
      <c r="D699" s="214"/>
      <c r="E699" s="14" t="s">
        <v>2013</v>
      </c>
      <c r="F699" s="143" t="str">
        <f>IF(wskakunin_kanri8_TEL="", "", wskakunin_kanri8_TEL)</f>
        <v/>
      </c>
      <c r="H699" s="15"/>
    </row>
    <row r="700" spans="1:8" ht="15" customHeight="1">
      <c r="A700" s="58"/>
      <c r="B700" s="69" t="s">
        <v>590</v>
      </c>
      <c r="C700" s="14" t="s">
        <v>2014</v>
      </c>
      <c r="D700" s="214"/>
      <c r="E700" s="14" t="s">
        <v>2015</v>
      </c>
      <c r="F700" s="143" t="str">
        <f>IF(wskakunin_kanri8_DOC="","",wskakunin_kanri8_DOC)</f>
        <v/>
      </c>
      <c r="H700" s="15"/>
    </row>
    <row r="701" spans="1:8" ht="15" customHeight="1">
      <c r="A701" s="42"/>
      <c r="B701" s="72"/>
      <c r="H701" s="15"/>
    </row>
    <row r="702" spans="1:8" ht="15" customHeight="1">
      <c r="A702" s="43" t="s">
        <v>2104</v>
      </c>
      <c r="B702" s="42" t="s">
        <v>1903</v>
      </c>
      <c r="H702" s="15"/>
    </row>
    <row r="703" spans="1:8" ht="15" customHeight="1">
      <c r="A703" s="25"/>
      <c r="B703" s="69" t="s">
        <v>540</v>
      </c>
      <c r="C703" s="14" t="s">
        <v>2016</v>
      </c>
      <c r="D703" s="143"/>
      <c r="E703" s="14" t="s">
        <v>2017</v>
      </c>
      <c r="F703" s="143" t="str">
        <f>IF(wskakunin_kanri9__sikaku="", "", wskakunin_kanri9__sikaku)</f>
        <v/>
      </c>
      <c r="H703" s="15"/>
    </row>
    <row r="704" spans="1:8" ht="15" customHeight="1">
      <c r="A704" s="25"/>
      <c r="B704" s="69" t="s">
        <v>541</v>
      </c>
      <c r="C704" s="14" t="s">
        <v>2018</v>
      </c>
      <c r="D704" s="143"/>
      <c r="E704" s="14" t="s">
        <v>2019</v>
      </c>
      <c r="F704" s="143" t="str">
        <f>IF(wskakunin_kanri9_SIKAKU__label="", "", wskakunin_kanri9_SIKAKU__label)</f>
        <v/>
      </c>
      <c r="H704" s="15"/>
    </row>
    <row r="705" spans="1:8" ht="15" customHeight="1">
      <c r="A705" s="30"/>
      <c r="B705" s="75" t="s">
        <v>536</v>
      </c>
      <c r="C705" s="14" t="s">
        <v>2020</v>
      </c>
      <c r="D705" s="143"/>
      <c r="E705" s="14" t="s">
        <v>2021</v>
      </c>
      <c r="F705" s="143" t="str">
        <f>IF(wskakunin_kanri9_TOUROKU_KIKAN__label="","",wskakunin_kanri9_TOUROKU_KIKAN__label)</f>
        <v/>
      </c>
      <c r="H705" s="15"/>
    </row>
    <row r="706" spans="1:8" ht="15" customHeight="1">
      <c r="A706" s="30"/>
      <c r="B706" s="75" t="s">
        <v>537</v>
      </c>
      <c r="C706" s="14" t="s">
        <v>2022</v>
      </c>
      <c r="D706" s="214"/>
      <c r="E706" s="14" t="s">
        <v>2023</v>
      </c>
      <c r="F706" s="143" t="str">
        <f>IF(wskakunin_kanri9_KENTIKUSI_NO="","",wskakunin_kanri9_KENTIKUSI_NO)</f>
        <v/>
      </c>
      <c r="H706" s="15"/>
    </row>
    <row r="707" spans="1:8" ht="15" customHeight="1">
      <c r="A707" s="58"/>
      <c r="B707" s="69" t="s">
        <v>19</v>
      </c>
      <c r="C707" s="14" t="s">
        <v>2024</v>
      </c>
      <c r="D707" s="143"/>
      <c r="E707" s="14" t="s">
        <v>2025</v>
      </c>
      <c r="F707" s="143" t="str">
        <f>IF(wskakunin_kanri9_NAME="", "", wskakunin_kanri9_NAME)</f>
        <v/>
      </c>
      <c r="H707" s="15"/>
    </row>
    <row r="708" spans="1:8" ht="15" customHeight="1">
      <c r="A708" s="58"/>
      <c r="B708" s="69" t="s">
        <v>542</v>
      </c>
      <c r="C708" s="14" t="s">
        <v>2026</v>
      </c>
      <c r="D708" s="143"/>
      <c r="E708" s="14" t="s">
        <v>2027</v>
      </c>
      <c r="F708" s="143" t="str">
        <f>IF(wskakunin_kanri9_JIMU__sikaku="", "", wskakunin_kanri9_JIMU__sikaku)</f>
        <v/>
      </c>
      <c r="H708" s="15"/>
    </row>
    <row r="709" spans="1:8" ht="15" customHeight="1">
      <c r="A709" s="42"/>
      <c r="B709" s="75" t="s">
        <v>23</v>
      </c>
      <c r="C709" s="14" t="s">
        <v>2028</v>
      </c>
      <c r="D709" s="143"/>
      <c r="E709" s="14" t="s">
        <v>2029</v>
      </c>
      <c r="F709" s="143" t="str">
        <f>IF(wskakunin_kanri9_JIMU_SIKAKU__label="","",wskakunin_kanri9_JIMU_SIKAKU__label)</f>
        <v/>
      </c>
      <c r="H709" s="15"/>
    </row>
    <row r="710" spans="1:8" ht="15" customHeight="1">
      <c r="A710" s="42"/>
      <c r="B710" s="75" t="s">
        <v>543</v>
      </c>
      <c r="C710" s="14" t="s">
        <v>2030</v>
      </c>
      <c r="D710" s="143"/>
      <c r="E710" s="14" t="s">
        <v>2031</v>
      </c>
      <c r="F710" s="143" t="str">
        <f>IF(wskakunin_kanri9_JIMU_TOUROKU_KIKAN__label="","",wskakunin_kanri9_JIMU_TOUROKU_KIKAN__label)</f>
        <v/>
      </c>
      <c r="H710" s="15"/>
    </row>
    <row r="711" spans="1:8" ht="15" customHeight="1">
      <c r="A711" s="42"/>
      <c r="B711" s="75" t="s">
        <v>544</v>
      </c>
      <c r="C711" s="14" t="s">
        <v>2032</v>
      </c>
      <c r="D711" s="214"/>
      <c r="E711" s="14" t="s">
        <v>2033</v>
      </c>
      <c r="F711" s="143" t="str">
        <f>IF(wskakunin_kanri9_JIMU_NO="","",wskakunin_kanri9_JIMU_NO)</f>
        <v/>
      </c>
      <c r="H711" s="15"/>
    </row>
    <row r="712" spans="1:8" ht="15" customHeight="1">
      <c r="A712" s="58"/>
      <c r="B712" s="69" t="s">
        <v>24</v>
      </c>
      <c r="C712" s="14" t="s">
        <v>2034</v>
      </c>
      <c r="D712" s="143"/>
      <c r="E712" s="14" t="s">
        <v>2035</v>
      </c>
      <c r="F712" s="143" t="str">
        <f>IF(wskakunin_kanri9_JIMU_NAME="", "", wskakunin_kanri9_JIMU_NAME)</f>
        <v/>
      </c>
      <c r="H712" s="15"/>
    </row>
    <row r="713" spans="1:8" ht="15" customHeight="1">
      <c r="A713" s="58"/>
      <c r="B713" s="69" t="s">
        <v>20</v>
      </c>
      <c r="C713" s="14" t="s">
        <v>2036</v>
      </c>
      <c r="D713" s="214"/>
      <c r="E713" s="14" t="s">
        <v>2037</v>
      </c>
      <c r="F713" s="143" t="str">
        <f>IF(wskakunin_kanri9_ZIP="", "", wskakunin_kanri9_ZIP)</f>
        <v/>
      </c>
      <c r="H713" s="15"/>
    </row>
    <row r="714" spans="1:8" ht="15" customHeight="1">
      <c r="A714" s="58"/>
      <c r="B714" s="69" t="s">
        <v>25</v>
      </c>
      <c r="C714" s="14" t="s">
        <v>2038</v>
      </c>
      <c r="D714" s="143"/>
      <c r="E714" s="14" t="s">
        <v>2039</v>
      </c>
      <c r="F714" s="143" t="str">
        <f>IF(wskakunin_kanri9__address="", "", wskakunin_kanri9__address)</f>
        <v/>
      </c>
      <c r="H714" s="15"/>
    </row>
    <row r="715" spans="1:8" ht="15" customHeight="1">
      <c r="A715" s="58"/>
      <c r="B715" s="69" t="s">
        <v>22</v>
      </c>
      <c r="C715" s="14" t="s">
        <v>2040</v>
      </c>
      <c r="D715" s="214"/>
      <c r="E715" s="14" t="s">
        <v>2041</v>
      </c>
      <c r="F715" s="143" t="str">
        <f>IF(wskakunin_kanri9_TEL="", "", wskakunin_kanri9_TEL)</f>
        <v/>
      </c>
      <c r="H715" s="15"/>
    </row>
    <row r="716" spans="1:8" ht="15" customHeight="1">
      <c r="A716" s="58"/>
      <c r="B716" s="69" t="s">
        <v>590</v>
      </c>
      <c r="C716" s="14" t="s">
        <v>2042</v>
      </c>
      <c r="D716" s="214"/>
      <c r="E716" s="14" t="s">
        <v>2043</v>
      </c>
      <c r="F716" s="143" t="str">
        <f>IF(wskakunin_kanri9_DOC="","",wskakunin_kanri9_DOC)</f>
        <v/>
      </c>
      <c r="H716" s="15"/>
    </row>
    <row r="717" spans="1:8" ht="15" customHeight="1">
      <c r="A717" s="42"/>
      <c r="B717" s="72"/>
      <c r="H717" s="15"/>
    </row>
    <row r="718" spans="1:8" ht="15" customHeight="1">
      <c r="A718" s="43" t="s">
        <v>2105</v>
      </c>
      <c r="B718" s="42" t="s">
        <v>1903</v>
      </c>
      <c r="H718" s="15"/>
    </row>
    <row r="719" spans="1:8" ht="15" customHeight="1">
      <c r="A719" s="25"/>
      <c r="B719" s="69" t="s">
        <v>540</v>
      </c>
      <c r="C719" s="14" t="s">
        <v>2044</v>
      </c>
      <c r="D719" s="143"/>
      <c r="E719" s="14" t="s">
        <v>2045</v>
      </c>
      <c r="F719" s="143" t="str">
        <f>IF(wskakunin_kanri10__sikaku="", "", wskakunin_kanri10__sikaku)</f>
        <v/>
      </c>
      <c r="H719" s="15"/>
    </row>
    <row r="720" spans="1:8" ht="15" customHeight="1">
      <c r="A720" s="25"/>
      <c r="B720" s="69" t="s">
        <v>541</v>
      </c>
      <c r="C720" s="14" t="s">
        <v>2046</v>
      </c>
      <c r="D720" s="143"/>
      <c r="E720" s="14" t="s">
        <v>2047</v>
      </c>
      <c r="F720" s="143" t="str">
        <f>IF(wskakunin_kanri10_SIKAKU__label="", "", wskakunin_kanri10_SIKAKU__label)</f>
        <v/>
      </c>
      <c r="H720" s="15"/>
    </row>
    <row r="721" spans="1:8" ht="15" customHeight="1">
      <c r="A721" s="30"/>
      <c r="B721" s="75" t="s">
        <v>536</v>
      </c>
      <c r="C721" s="14" t="s">
        <v>2048</v>
      </c>
      <c r="D721" s="143"/>
      <c r="E721" s="14" t="s">
        <v>2049</v>
      </c>
      <c r="F721" s="143" t="str">
        <f>IF(wskakunin_kanri10_TOUROKU_KIKAN__label="","",wskakunin_kanri10_TOUROKU_KIKAN__label)</f>
        <v/>
      </c>
      <c r="H721" s="15"/>
    </row>
    <row r="722" spans="1:8" ht="15" customHeight="1">
      <c r="A722" s="30"/>
      <c r="B722" s="75" t="s">
        <v>537</v>
      </c>
      <c r="C722" s="14" t="s">
        <v>2050</v>
      </c>
      <c r="D722" s="214"/>
      <c r="E722" s="14" t="s">
        <v>2051</v>
      </c>
      <c r="F722" s="143" t="str">
        <f>IF(wskakunin_kanri10_KENTIKUSI_NO="","",wskakunin_kanri10_KENTIKUSI_NO)</f>
        <v/>
      </c>
      <c r="H722" s="15"/>
    </row>
    <row r="723" spans="1:8" ht="15" customHeight="1">
      <c r="A723" s="58"/>
      <c r="B723" s="69" t="s">
        <v>19</v>
      </c>
      <c r="C723" s="14" t="s">
        <v>2052</v>
      </c>
      <c r="D723" s="143"/>
      <c r="E723" s="14" t="s">
        <v>2053</v>
      </c>
      <c r="F723" s="143" t="str">
        <f>IF(wskakunin_kanri10_NAME="", "", wskakunin_kanri10_NAME)</f>
        <v/>
      </c>
      <c r="H723" s="15"/>
    </row>
    <row r="724" spans="1:8" ht="15" customHeight="1">
      <c r="A724" s="58"/>
      <c r="B724" s="69" t="s">
        <v>542</v>
      </c>
      <c r="C724" s="14" t="s">
        <v>2054</v>
      </c>
      <c r="D724" s="143"/>
      <c r="E724" s="14" t="s">
        <v>2055</v>
      </c>
      <c r="F724" s="143" t="str">
        <f>IF(wskakunin_kanri10_JIMU__sikaku="", "", wskakunin_kanri10_JIMU__sikaku)</f>
        <v/>
      </c>
      <c r="H724" s="15"/>
    </row>
    <row r="725" spans="1:8" ht="15" customHeight="1">
      <c r="A725" s="42"/>
      <c r="B725" s="75" t="s">
        <v>23</v>
      </c>
      <c r="C725" s="14" t="s">
        <v>2056</v>
      </c>
      <c r="D725" s="143"/>
      <c r="E725" s="14" t="s">
        <v>2057</v>
      </c>
      <c r="F725" s="143" t="str">
        <f>IF(wskakunin_kanri10_JIMU_SIKAKU__label="","",wskakunin_kanri10_JIMU_SIKAKU__label)</f>
        <v/>
      </c>
      <c r="H725" s="15"/>
    </row>
    <row r="726" spans="1:8" ht="15" customHeight="1">
      <c r="A726" s="42"/>
      <c r="B726" s="75" t="s">
        <v>543</v>
      </c>
      <c r="C726" s="14" t="s">
        <v>2058</v>
      </c>
      <c r="D726" s="143"/>
      <c r="E726" s="14" t="s">
        <v>2059</v>
      </c>
      <c r="F726" s="143" t="str">
        <f>IF(wskakunin_kanri10_JIMU_TOUROKU_KIKAN__label="","",wskakunin_kanri10_JIMU_TOUROKU_KIKAN__label)</f>
        <v/>
      </c>
      <c r="H726" s="15"/>
    </row>
    <row r="727" spans="1:8" ht="15" customHeight="1">
      <c r="A727" s="42"/>
      <c r="B727" s="75" t="s">
        <v>544</v>
      </c>
      <c r="C727" s="14" t="s">
        <v>2060</v>
      </c>
      <c r="D727" s="214"/>
      <c r="E727" s="14" t="s">
        <v>2061</v>
      </c>
      <c r="F727" s="143" t="str">
        <f>IF(wskakunin_kanri10_JIMU_NO="","",wskakunin_kanri10_JIMU_NO)</f>
        <v/>
      </c>
      <c r="H727" s="15"/>
    </row>
    <row r="728" spans="1:8" ht="15" customHeight="1">
      <c r="A728" s="58"/>
      <c r="B728" s="69" t="s">
        <v>24</v>
      </c>
      <c r="C728" s="14" t="s">
        <v>2062</v>
      </c>
      <c r="D728" s="143"/>
      <c r="E728" s="14" t="s">
        <v>2063</v>
      </c>
      <c r="F728" s="143" t="str">
        <f>IF(wskakunin_kanri10_JIMU_NAME="", "", wskakunin_kanri10_JIMU_NAME)</f>
        <v/>
      </c>
      <c r="H728" s="15"/>
    </row>
    <row r="729" spans="1:8" ht="15" customHeight="1">
      <c r="A729" s="58"/>
      <c r="B729" s="69" t="s">
        <v>20</v>
      </c>
      <c r="C729" s="14" t="s">
        <v>2064</v>
      </c>
      <c r="D729" s="214"/>
      <c r="E729" s="14" t="s">
        <v>2065</v>
      </c>
      <c r="F729" s="143" t="str">
        <f>IF(wskakunin_kanri10_ZIP="", "", wskakunin_kanri10_ZIP)</f>
        <v/>
      </c>
      <c r="H729" s="15"/>
    </row>
    <row r="730" spans="1:8" ht="15" customHeight="1">
      <c r="A730" s="58"/>
      <c r="B730" s="69" t="s">
        <v>25</v>
      </c>
      <c r="C730" s="14" t="s">
        <v>2066</v>
      </c>
      <c r="D730" s="143"/>
      <c r="E730" s="14" t="s">
        <v>2067</v>
      </c>
      <c r="F730" s="143" t="str">
        <f>IF(wskakunin_kanri10__address="", "", wskakunin_kanri10__address)</f>
        <v/>
      </c>
      <c r="H730" s="15"/>
    </row>
    <row r="731" spans="1:8" ht="15" customHeight="1">
      <c r="A731" s="58"/>
      <c r="B731" s="69" t="s">
        <v>22</v>
      </c>
      <c r="C731" s="14" t="s">
        <v>2068</v>
      </c>
      <c r="D731" s="214"/>
      <c r="E731" s="14" t="s">
        <v>2069</v>
      </c>
      <c r="F731" s="143" t="str">
        <f>IF(wskakunin_kanri10_TEL="", "", wskakunin_kanri10_TEL)</f>
        <v/>
      </c>
      <c r="H731" s="15"/>
    </row>
    <row r="732" spans="1:8" ht="15" customHeight="1">
      <c r="A732" s="58"/>
      <c r="B732" s="69" t="s">
        <v>590</v>
      </c>
      <c r="C732" s="14" t="s">
        <v>2070</v>
      </c>
      <c r="D732" s="214"/>
      <c r="E732" s="14" t="s">
        <v>2071</v>
      </c>
      <c r="F732" s="143" t="str">
        <f>IF(wskakunin_kanri10_DOC="","",wskakunin_kanri10_DOC)</f>
        <v/>
      </c>
      <c r="H732" s="15"/>
    </row>
    <row r="733" spans="1:8" ht="15" customHeight="1">
      <c r="A733" s="42"/>
      <c r="B733" s="72"/>
      <c r="H733" s="15"/>
    </row>
    <row r="734" spans="1:8" ht="15" customHeight="1">
      <c r="A734" s="43" t="s">
        <v>2106</v>
      </c>
      <c r="B734" s="42" t="s">
        <v>1903</v>
      </c>
      <c r="H734" s="15"/>
    </row>
    <row r="735" spans="1:8" ht="15" customHeight="1">
      <c r="A735" s="25"/>
      <c r="B735" s="69" t="s">
        <v>540</v>
      </c>
      <c r="C735" s="14" t="s">
        <v>2072</v>
      </c>
      <c r="D735" s="143"/>
      <c r="E735" s="14" t="s">
        <v>2073</v>
      </c>
      <c r="F735" s="143" t="str">
        <f>IF(wskakunin_kanri11__sikaku="", "", wskakunin_kanri11__sikaku)</f>
        <v/>
      </c>
      <c r="H735" s="15"/>
    </row>
    <row r="736" spans="1:8" ht="15" customHeight="1">
      <c r="A736" s="25"/>
      <c r="B736" s="69" t="s">
        <v>541</v>
      </c>
      <c r="C736" s="14" t="s">
        <v>2074</v>
      </c>
      <c r="D736" s="143"/>
      <c r="E736" s="14" t="s">
        <v>2075</v>
      </c>
      <c r="F736" s="143" t="str">
        <f>IF(wskakunin_kanri11_SIKAKU__label="", "", wskakunin_kanri11_SIKAKU__label)</f>
        <v/>
      </c>
      <c r="H736" s="15"/>
    </row>
    <row r="737" spans="1:8" ht="15" customHeight="1">
      <c r="A737" s="30"/>
      <c r="B737" s="75" t="s">
        <v>536</v>
      </c>
      <c r="C737" s="14" t="s">
        <v>2076</v>
      </c>
      <c r="D737" s="143"/>
      <c r="E737" s="14" t="s">
        <v>2077</v>
      </c>
      <c r="F737" s="143" t="str">
        <f>IF(wskakunin_kanri11_TOUROKU_KIKAN__label="","",wskakunin_kanri11_TOUROKU_KIKAN__label)</f>
        <v/>
      </c>
      <c r="H737" s="15"/>
    </row>
    <row r="738" spans="1:8" ht="15" customHeight="1">
      <c r="A738" s="30"/>
      <c r="B738" s="75" t="s">
        <v>537</v>
      </c>
      <c r="C738" s="14" t="s">
        <v>2078</v>
      </c>
      <c r="D738" s="214"/>
      <c r="E738" s="14" t="s">
        <v>2079</v>
      </c>
      <c r="F738" s="143" t="str">
        <f>IF(wskakunin_kanri11_KENTIKUSI_NO="","",wskakunin_kanri11_KENTIKUSI_NO)</f>
        <v/>
      </c>
      <c r="H738" s="15"/>
    </row>
    <row r="739" spans="1:8" ht="15" customHeight="1">
      <c r="A739" s="58"/>
      <c r="B739" s="69" t="s">
        <v>19</v>
      </c>
      <c r="C739" s="14" t="s">
        <v>2080</v>
      </c>
      <c r="D739" s="143"/>
      <c r="E739" s="14" t="s">
        <v>2081</v>
      </c>
      <c r="F739" s="143" t="str">
        <f>IF(wskakunin_kanri11_NAME="", "", wskakunin_kanri11_NAME)</f>
        <v/>
      </c>
      <c r="H739" s="15"/>
    </row>
    <row r="740" spans="1:8" ht="15" customHeight="1">
      <c r="A740" s="58"/>
      <c r="B740" s="69" t="s">
        <v>542</v>
      </c>
      <c r="C740" s="14" t="s">
        <v>2082</v>
      </c>
      <c r="D740" s="143"/>
      <c r="E740" s="14" t="s">
        <v>2083</v>
      </c>
      <c r="F740" s="143" t="str">
        <f>IF(wskakunin_kanri11_JIMU__sikaku="", "", wskakunin_kanri11_JIMU__sikaku)</f>
        <v/>
      </c>
      <c r="H740" s="15"/>
    </row>
    <row r="741" spans="1:8" ht="15" customHeight="1">
      <c r="A741" s="42"/>
      <c r="B741" s="75" t="s">
        <v>23</v>
      </c>
      <c r="C741" s="14" t="s">
        <v>2084</v>
      </c>
      <c r="D741" s="143"/>
      <c r="E741" s="14" t="s">
        <v>2085</v>
      </c>
      <c r="F741" s="143" t="str">
        <f>IF(wskakunin_kanri11_JIMU_SIKAKU__label="","",wskakunin_kanri11_JIMU_SIKAKU__label)</f>
        <v/>
      </c>
      <c r="H741" s="15"/>
    </row>
    <row r="742" spans="1:8" ht="15" customHeight="1">
      <c r="A742" s="42"/>
      <c r="B742" s="75" t="s">
        <v>543</v>
      </c>
      <c r="C742" s="14" t="s">
        <v>2086</v>
      </c>
      <c r="D742" s="143"/>
      <c r="E742" s="14" t="s">
        <v>2087</v>
      </c>
      <c r="F742" s="143" t="str">
        <f>IF(wskakunin_kanri11_JIMU_TOUROKU_KIKAN__label="","",wskakunin_kanri11_JIMU_TOUROKU_KIKAN__label)</f>
        <v/>
      </c>
      <c r="H742" s="15"/>
    </row>
    <row r="743" spans="1:8" ht="15" customHeight="1">
      <c r="A743" s="42"/>
      <c r="B743" s="75" t="s">
        <v>544</v>
      </c>
      <c r="C743" s="14" t="s">
        <v>2088</v>
      </c>
      <c r="D743" s="214"/>
      <c r="E743" s="14" t="s">
        <v>2089</v>
      </c>
      <c r="F743" s="143" t="str">
        <f>IF(wskakunin_kanri11_JIMU_NO="","",wskakunin_kanri11_JIMU_NO)</f>
        <v/>
      </c>
      <c r="H743" s="15"/>
    </row>
    <row r="744" spans="1:8" ht="15" customHeight="1">
      <c r="A744" s="58"/>
      <c r="B744" s="69" t="s">
        <v>24</v>
      </c>
      <c r="C744" s="14" t="s">
        <v>2090</v>
      </c>
      <c r="D744" s="143"/>
      <c r="E744" s="14" t="s">
        <v>2091</v>
      </c>
      <c r="F744" s="143" t="str">
        <f>IF(wskakunin_kanri11_JIMU_NAME="", "", wskakunin_kanri11_JIMU_NAME)</f>
        <v/>
      </c>
      <c r="H744" s="15"/>
    </row>
    <row r="745" spans="1:8" ht="15" customHeight="1">
      <c r="A745" s="58"/>
      <c r="B745" s="69" t="s">
        <v>20</v>
      </c>
      <c r="C745" s="14" t="s">
        <v>2092</v>
      </c>
      <c r="D745" s="214"/>
      <c r="E745" s="14" t="s">
        <v>2093</v>
      </c>
      <c r="F745" s="143" t="str">
        <f>IF(wskakunin_kanri11_ZIP="", "", wskakunin_kanri11_ZIP)</f>
        <v/>
      </c>
      <c r="H745" s="15"/>
    </row>
    <row r="746" spans="1:8" ht="15" customHeight="1">
      <c r="A746" s="58"/>
      <c r="B746" s="69" t="s">
        <v>25</v>
      </c>
      <c r="C746" s="14" t="s">
        <v>2094</v>
      </c>
      <c r="D746" s="143"/>
      <c r="E746" s="14" t="s">
        <v>2095</v>
      </c>
      <c r="F746" s="143" t="str">
        <f>IF(wskakunin_kanri11__address="", "", wskakunin_kanri11__address)</f>
        <v/>
      </c>
      <c r="H746" s="15"/>
    </row>
    <row r="747" spans="1:8" ht="15" customHeight="1">
      <c r="A747" s="58"/>
      <c r="B747" s="69" t="s">
        <v>22</v>
      </c>
      <c r="C747" s="14" t="s">
        <v>2096</v>
      </c>
      <c r="D747" s="214"/>
      <c r="E747" s="14" t="s">
        <v>2097</v>
      </c>
      <c r="F747" s="143" t="str">
        <f>IF(wskakunin_kanri11_TEL="", "", wskakunin_kanri11_TEL)</f>
        <v/>
      </c>
      <c r="H747" s="15"/>
    </row>
    <row r="748" spans="1:8" ht="15" customHeight="1">
      <c r="A748" s="58"/>
      <c r="B748" s="69" t="s">
        <v>590</v>
      </c>
      <c r="C748" s="14" t="s">
        <v>2098</v>
      </c>
      <c r="D748" s="214"/>
      <c r="E748" s="14" t="s">
        <v>2099</v>
      </c>
      <c r="F748" s="143" t="str">
        <f>IF(wskakunin_kanri11_DOC="","",wskakunin_kanri11_DOC)</f>
        <v/>
      </c>
      <c r="H748" s="15"/>
    </row>
    <row r="749" spans="1:8" ht="15" customHeight="1">
      <c r="A749" s="42"/>
      <c r="B749" s="72"/>
      <c r="G749" s="15"/>
      <c r="H749" s="15"/>
    </row>
    <row r="750" spans="1:8" ht="15" customHeight="1">
      <c r="A750" s="43" t="s">
        <v>2225</v>
      </c>
      <c r="B750" s="42" t="s">
        <v>1903</v>
      </c>
      <c r="H750" s="15"/>
    </row>
    <row r="751" spans="1:8" ht="15" customHeight="1">
      <c r="A751" s="25"/>
      <c r="B751" s="69" t="s">
        <v>540</v>
      </c>
      <c r="C751" s="14" t="s">
        <v>2226</v>
      </c>
      <c r="D751" s="143"/>
      <c r="E751" s="14" t="s">
        <v>2227</v>
      </c>
      <c r="F751" s="143" t="str">
        <f>IF(wskakunin_kanri12__sikaku="", "", wskakunin_kanri12__sikaku)</f>
        <v/>
      </c>
      <c r="H751" s="15"/>
    </row>
    <row r="752" spans="1:8" ht="15" customHeight="1">
      <c r="A752" s="25"/>
      <c r="B752" s="69" t="s">
        <v>541</v>
      </c>
      <c r="C752" s="14" t="s">
        <v>2228</v>
      </c>
      <c r="D752" s="143"/>
      <c r="E752" s="14" t="s">
        <v>2229</v>
      </c>
      <c r="F752" s="143" t="str">
        <f>IF(wskakunin_kanri12_SIKAKU__label="", "", wskakunin_kanri12_SIKAKU__label)</f>
        <v/>
      </c>
      <c r="H752" s="15"/>
    </row>
    <row r="753" spans="1:8" ht="15" customHeight="1">
      <c r="A753" s="30"/>
      <c r="B753" s="75" t="s">
        <v>536</v>
      </c>
      <c r="C753" s="14" t="s">
        <v>2230</v>
      </c>
      <c r="D753" s="143"/>
      <c r="E753" s="14" t="s">
        <v>2231</v>
      </c>
      <c r="F753" s="143" t="str">
        <f>IF(wskakunin_kanri12_TOUROKU_KIKAN__label="","",wskakunin_kanri12_TOUROKU_KIKAN__label)</f>
        <v/>
      </c>
      <c r="H753" s="15"/>
    </row>
    <row r="754" spans="1:8" ht="15" customHeight="1">
      <c r="A754" s="30"/>
      <c r="B754" s="75" t="s">
        <v>537</v>
      </c>
      <c r="C754" s="14" t="s">
        <v>2232</v>
      </c>
      <c r="D754" s="214"/>
      <c r="E754" s="14" t="s">
        <v>2233</v>
      </c>
      <c r="F754" s="143" t="str">
        <f>IF(wskakunin_kanri12_KENTIKUSI_NO="","",wskakunin_kanri12_KENTIKUSI_NO)</f>
        <v/>
      </c>
      <c r="H754" s="15"/>
    </row>
    <row r="755" spans="1:8" ht="15" customHeight="1">
      <c r="A755" s="58"/>
      <c r="B755" s="69" t="s">
        <v>19</v>
      </c>
      <c r="C755" s="14" t="s">
        <v>2234</v>
      </c>
      <c r="D755" s="143"/>
      <c r="E755" s="14" t="s">
        <v>2235</v>
      </c>
      <c r="F755" s="143" t="str">
        <f>IF(wskakunin_kanri12_NAME="", "", wskakunin_kanri12_NAME)</f>
        <v/>
      </c>
      <c r="H755" s="15"/>
    </row>
    <row r="756" spans="1:8" ht="15" customHeight="1">
      <c r="A756" s="58"/>
      <c r="B756" s="69" t="s">
        <v>542</v>
      </c>
      <c r="C756" s="14" t="s">
        <v>2236</v>
      </c>
      <c r="D756" s="143"/>
      <c r="E756" s="14" t="s">
        <v>2237</v>
      </c>
      <c r="F756" s="143" t="str">
        <f>IF(wskakunin_kanri12_JIMU__sikaku="", "", wskakunin_kanri12_JIMU__sikaku)</f>
        <v/>
      </c>
      <c r="H756" s="15"/>
    </row>
    <row r="757" spans="1:8" ht="15" customHeight="1">
      <c r="A757" s="42"/>
      <c r="B757" s="75" t="s">
        <v>23</v>
      </c>
      <c r="C757" s="14" t="s">
        <v>2238</v>
      </c>
      <c r="D757" s="143"/>
      <c r="E757" s="14" t="s">
        <v>2239</v>
      </c>
      <c r="F757" s="143" t="str">
        <f>IF(wskakunin_kanri12_JIMU_SIKAKU__label="","",wskakunin_kanri12_JIMU_SIKAKU__label)</f>
        <v/>
      </c>
      <c r="H757" s="15"/>
    </row>
    <row r="758" spans="1:8" ht="15" customHeight="1">
      <c r="A758" s="42"/>
      <c r="B758" s="75" t="s">
        <v>543</v>
      </c>
      <c r="C758" s="14" t="s">
        <v>2240</v>
      </c>
      <c r="D758" s="143"/>
      <c r="E758" s="14" t="s">
        <v>2241</v>
      </c>
      <c r="F758" s="143" t="str">
        <f>IF(wskakunin_kanri12_JIMU_TOUROKU_KIKAN__label="","",wskakunin_kanri12_JIMU_TOUROKU_KIKAN__label)</f>
        <v/>
      </c>
      <c r="H758" s="15"/>
    </row>
    <row r="759" spans="1:8" ht="15" customHeight="1">
      <c r="A759" s="42"/>
      <c r="B759" s="75" t="s">
        <v>544</v>
      </c>
      <c r="C759" s="14" t="s">
        <v>2242</v>
      </c>
      <c r="D759" s="214"/>
      <c r="E759" s="14" t="s">
        <v>2243</v>
      </c>
      <c r="F759" s="143" t="str">
        <f>IF(wskakunin_kanri12_JIMU_NO="","",wskakunin_kanri12_JIMU_NO)</f>
        <v/>
      </c>
      <c r="H759" s="15"/>
    </row>
    <row r="760" spans="1:8" ht="15" customHeight="1">
      <c r="A760" s="58"/>
      <c r="B760" s="69" t="s">
        <v>24</v>
      </c>
      <c r="C760" s="14" t="s">
        <v>2244</v>
      </c>
      <c r="D760" s="143"/>
      <c r="E760" s="14" t="s">
        <v>2245</v>
      </c>
      <c r="F760" s="143" t="str">
        <f>IF(wskakunin_kanri12_JIMU_NAME="", "", wskakunin_kanri12_JIMU_NAME)</f>
        <v/>
      </c>
      <c r="H760" s="15"/>
    </row>
    <row r="761" spans="1:8" ht="15" customHeight="1">
      <c r="A761" s="58"/>
      <c r="B761" s="69" t="s">
        <v>20</v>
      </c>
      <c r="C761" s="14" t="s">
        <v>2246</v>
      </c>
      <c r="D761" s="214"/>
      <c r="E761" s="14" t="s">
        <v>2247</v>
      </c>
      <c r="F761" s="143" t="str">
        <f>IF(wskakunin_kanri12_ZIP="", "", wskakunin_kanri12_ZIP)</f>
        <v/>
      </c>
      <c r="H761" s="15"/>
    </row>
    <row r="762" spans="1:8" ht="15" customHeight="1">
      <c r="A762" s="58"/>
      <c r="B762" s="69" t="s">
        <v>25</v>
      </c>
      <c r="C762" s="14" t="s">
        <v>2248</v>
      </c>
      <c r="D762" s="143"/>
      <c r="E762" s="14" t="s">
        <v>2249</v>
      </c>
      <c r="F762" s="143" t="str">
        <f>IF(wskakunin_kanri12__address="", "", wskakunin_kanri12__address)</f>
        <v/>
      </c>
      <c r="H762" s="15"/>
    </row>
    <row r="763" spans="1:8" ht="15" customHeight="1">
      <c r="A763" s="58"/>
      <c r="B763" s="69" t="s">
        <v>22</v>
      </c>
      <c r="C763" s="14" t="s">
        <v>2250</v>
      </c>
      <c r="D763" s="214"/>
      <c r="E763" s="14" t="s">
        <v>2251</v>
      </c>
      <c r="F763" s="143" t="str">
        <f>IF(wskakunin_kanri12_TEL="", "", wskakunin_kanri12_TEL)</f>
        <v/>
      </c>
      <c r="H763" s="15"/>
    </row>
    <row r="764" spans="1:8" ht="15" customHeight="1">
      <c r="A764" s="58"/>
      <c r="B764" s="69" t="s">
        <v>590</v>
      </c>
      <c r="C764" s="14" t="s">
        <v>2252</v>
      </c>
      <c r="D764" s="214"/>
      <c r="E764" s="14" t="s">
        <v>2253</v>
      </c>
      <c r="F764" s="143" t="str">
        <f>IF(wskakunin_kanri12_DOC="","",wskakunin_kanri12_DOC)</f>
        <v/>
      </c>
      <c r="H764" s="15"/>
    </row>
    <row r="765" spans="1:8" ht="15" customHeight="1">
      <c r="A765" s="42"/>
      <c r="B765" s="72"/>
      <c r="G765" s="15"/>
      <c r="H765" s="15"/>
    </row>
    <row r="766" spans="1:8" ht="15" customHeight="1">
      <c r="A766" s="50" t="s">
        <v>34</v>
      </c>
      <c r="B766" s="51"/>
      <c r="D766" s="15"/>
      <c r="G766" s="15"/>
      <c r="H766" s="15"/>
    </row>
    <row r="767" spans="1:8" ht="15" customHeight="1">
      <c r="A767" s="59"/>
      <c r="B767" s="74" t="s">
        <v>19</v>
      </c>
      <c r="C767" s="14" t="s">
        <v>866</v>
      </c>
      <c r="D767" s="220"/>
      <c r="E767" s="14" t="s">
        <v>867</v>
      </c>
      <c r="F767" s="220" t="str">
        <f>IF(wskakunin_sekou1_NAME="", "", wskakunin_sekou1_NAME)</f>
        <v/>
      </c>
      <c r="G767" s="15"/>
      <c r="H767" s="15"/>
    </row>
    <row r="768" spans="1:8" ht="15" customHeight="1">
      <c r="A768" s="59"/>
      <c r="B768" s="74" t="s">
        <v>1396</v>
      </c>
      <c r="C768" s="14" t="s">
        <v>868</v>
      </c>
      <c r="D768" s="220"/>
      <c r="E768" s="14" t="s">
        <v>869</v>
      </c>
      <c r="F768" s="220" t="str">
        <f>IF(wskakunin_sekou1_SEKOU__sikaku="", "", wskakunin_sekou1_SEKOU__sikaku)</f>
        <v/>
      </c>
      <c r="G768" s="15"/>
      <c r="H768" s="15"/>
    </row>
    <row r="769" spans="1:8" ht="15" customHeight="1">
      <c r="A769" s="59"/>
      <c r="B769" s="74" t="s">
        <v>603</v>
      </c>
      <c r="C769" s="14" t="s">
        <v>1399</v>
      </c>
      <c r="D769" s="220"/>
      <c r="E769" s="14" t="s">
        <v>1397</v>
      </c>
      <c r="F769" s="220" t="str">
        <f>IF(wskakunin_sekou1_SEKOU_SIKAKU__label="", "",wskakunin_sekou1_SEKOU_SIKAKU__label)</f>
        <v/>
      </c>
      <c r="G769" s="15"/>
      <c r="H769" s="15"/>
    </row>
    <row r="770" spans="1:8" ht="15" customHeight="1">
      <c r="A770" s="59"/>
      <c r="B770" s="74" t="s">
        <v>604</v>
      </c>
      <c r="C770" s="14" t="s">
        <v>1395</v>
      </c>
      <c r="D770" s="222"/>
      <c r="E770" s="14" t="s">
        <v>1398</v>
      </c>
      <c r="F770" s="220" t="str">
        <f>IF(wskakunin_sekou1_SEKOU_NO="","",wskakunin_sekou1_SEKOU_NO)</f>
        <v/>
      </c>
      <c r="G770" s="15"/>
      <c r="H770" s="15"/>
    </row>
    <row r="771" spans="1:8" ht="15" customHeight="1">
      <c r="A771" s="59"/>
      <c r="B771" s="74" t="s">
        <v>37</v>
      </c>
      <c r="C771" s="14" t="s">
        <v>870</v>
      </c>
      <c r="D771" s="220"/>
      <c r="E771" s="14" t="s">
        <v>871</v>
      </c>
      <c r="F771" s="220" t="str">
        <f>IF(wskakunin_sekou1_JIMU_NAME="", "", wskakunin_sekou1_JIMU_NAME)</f>
        <v/>
      </c>
      <c r="G771" s="15"/>
      <c r="H771" s="15"/>
    </row>
    <row r="772" spans="1:8" ht="15" customHeight="1">
      <c r="A772" s="59"/>
      <c r="B772" s="74" t="s">
        <v>20</v>
      </c>
      <c r="C772" s="14" t="s">
        <v>872</v>
      </c>
      <c r="D772" s="222"/>
      <c r="E772" s="14" t="s">
        <v>873</v>
      </c>
      <c r="F772" s="220" t="str">
        <f>IF(wskakunin_sekou1_ZIP="", "", wskakunin_sekou1_ZIP)</f>
        <v/>
      </c>
      <c r="G772" s="15"/>
      <c r="H772" s="15"/>
    </row>
    <row r="773" spans="1:8" ht="15" customHeight="1">
      <c r="A773" s="59"/>
      <c r="B773" s="74" t="s">
        <v>25</v>
      </c>
      <c r="C773" s="14" t="s">
        <v>874</v>
      </c>
      <c r="D773" s="220"/>
      <c r="E773" s="14" t="s">
        <v>875</v>
      </c>
      <c r="F773" s="220" t="str">
        <f>IF(wskakunin_sekou1__address="", "", wskakunin_sekou1__address)</f>
        <v/>
      </c>
      <c r="G773" s="15"/>
      <c r="H773" s="15"/>
    </row>
    <row r="774" spans="1:8" ht="15" customHeight="1">
      <c r="A774" s="59"/>
      <c r="B774" s="74" t="s">
        <v>22</v>
      </c>
      <c r="C774" s="14" t="s">
        <v>876</v>
      </c>
      <c r="D774" s="222"/>
      <c r="E774" s="14" t="s">
        <v>877</v>
      </c>
      <c r="F774" s="220" t="str">
        <f>IF(wskakunin_sekou1_TEL="", "", wskakunin_sekou1_TEL)</f>
        <v/>
      </c>
      <c r="G774" s="15"/>
      <c r="H774" s="15"/>
    </row>
    <row r="775" spans="1:8" ht="15" customHeight="1">
      <c r="A775" s="59"/>
      <c r="B775" s="74" t="s">
        <v>2573</v>
      </c>
      <c r="D775" s="32"/>
      <c r="E775" s="14" t="s">
        <v>2574</v>
      </c>
      <c r="F775" s="220">
        <f>IF(AND(cst_wskakunin_sekou1_NAME="",cst_wskakunin_sekou1_SEKOU__sikaku="",cst_wskakunin_sekou1_SEKOU_SIKAKU="",cst_wskakunin_sekou1_SEKOU_NO="",cst_wskakunin_sekou1_JIMU_NAME="",cst_wskakunin_sekou1_ZIP="",cst_wskakunin_sekou1__address="",cst_wskakunin_sekou1_TEL=""),1,2)</f>
        <v>1</v>
      </c>
      <c r="G775" s="15" t="s">
        <v>2575</v>
      </c>
      <c r="H775" s="15"/>
    </row>
    <row r="776" spans="1:8" ht="15" customHeight="1">
      <c r="A776" s="50" t="s">
        <v>2187</v>
      </c>
      <c r="B776" s="51"/>
      <c r="D776" s="32"/>
      <c r="F776" s="15"/>
      <c r="G776" s="15"/>
      <c r="H776" s="15"/>
    </row>
    <row r="777" spans="1:8" ht="15" customHeight="1">
      <c r="A777" s="59"/>
      <c r="B777" s="74" t="s">
        <v>19</v>
      </c>
      <c r="C777" s="14" t="s">
        <v>2107</v>
      </c>
      <c r="D777" s="220"/>
      <c r="E777" s="14" t="s">
        <v>2108</v>
      </c>
      <c r="F777" s="220" t="str">
        <f>IF(wskakunin_sekou2_NAME="", "", wskakunin_sekou2_NAME)</f>
        <v/>
      </c>
      <c r="H777" s="15"/>
    </row>
    <row r="778" spans="1:8" ht="15" customHeight="1">
      <c r="A778" s="59"/>
      <c r="B778" s="74" t="s">
        <v>1396</v>
      </c>
      <c r="C778" s="14" t="s">
        <v>2109</v>
      </c>
      <c r="D778" s="220"/>
      <c r="E778" s="14" t="s">
        <v>2110</v>
      </c>
      <c r="F778" s="220" t="str">
        <f>IF(wskakunin_sekou2_SEKOU__sikaku="", "", wskakunin_sekou2_SEKOU__sikaku)</f>
        <v/>
      </c>
      <c r="H778" s="15"/>
    </row>
    <row r="779" spans="1:8" ht="15" customHeight="1">
      <c r="A779" s="59"/>
      <c r="B779" s="74" t="s">
        <v>603</v>
      </c>
      <c r="C779" s="14" t="s">
        <v>2111</v>
      </c>
      <c r="D779" s="220"/>
      <c r="E779" s="14" t="s">
        <v>2112</v>
      </c>
      <c r="F779" s="220" t="str">
        <f>IF(wskakunin_sekou2_SEKOU_SIKAKU__label="", "",wskakunin_sekou2_SEKOU_SIKAKU__label)</f>
        <v/>
      </c>
      <c r="H779" s="15"/>
    </row>
    <row r="780" spans="1:8" ht="15" customHeight="1">
      <c r="A780" s="59"/>
      <c r="B780" s="74" t="s">
        <v>604</v>
      </c>
      <c r="C780" s="14" t="s">
        <v>2113</v>
      </c>
      <c r="D780" s="222"/>
      <c r="E780" s="14" t="s">
        <v>2114</v>
      </c>
      <c r="F780" s="220" t="str">
        <f>IF(wskakunin_sekou2_SEKOU_NO="","",wskakunin_sekou2_SEKOU_NO)</f>
        <v/>
      </c>
      <c r="H780" s="15"/>
    </row>
    <row r="781" spans="1:8" ht="15" customHeight="1">
      <c r="A781" s="59"/>
      <c r="B781" s="74" t="s">
        <v>37</v>
      </c>
      <c r="C781" s="14" t="s">
        <v>2115</v>
      </c>
      <c r="D781" s="220"/>
      <c r="E781" s="14" t="s">
        <v>2116</v>
      </c>
      <c r="F781" s="220" t="str">
        <f>IF(wskakunin_sekou2_JIMU_NAME="", "", wskakunin_sekou2_JIMU_NAME)</f>
        <v/>
      </c>
      <c r="H781" s="15"/>
    </row>
    <row r="782" spans="1:8" ht="15" customHeight="1">
      <c r="A782" s="59"/>
      <c r="B782" s="74" t="s">
        <v>20</v>
      </c>
      <c r="C782" s="14" t="s">
        <v>2117</v>
      </c>
      <c r="D782" s="222"/>
      <c r="E782" s="14" t="s">
        <v>2118</v>
      </c>
      <c r="F782" s="220" t="str">
        <f>IF(wskakunin_sekou2_ZIP="", "", wskakunin_sekou2_ZIP)</f>
        <v/>
      </c>
      <c r="H782" s="15"/>
    </row>
    <row r="783" spans="1:8" ht="15" customHeight="1">
      <c r="A783" s="59"/>
      <c r="B783" s="74" t="s">
        <v>25</v>
      </c>
      <c r="C783" s="14" t="s">
        <v>2119</v>
      </c>
      <c r="D783" s="220"/>
      <c r="E783" s="14" t="s">
        <v>2120</v>
      </c>
      <c r="F783" s="220" t="str">
        <f>IF(wskakunin_sekou2__address="", "", wskakunin_sekou2__address)</f>
        <v/>
      </c>
      <c r="H783" s="15"/>
    </row>
    <row r="784" spans="1:8" ht="15" customHeight="1">
      <c r="A784" s="59"/>
      <c r="B784" s="74" t="s">
        <v>22</v>
      </c>
      <c r="C784" s="14" t="s">
        <v>2121</v>
      </c>
      <c r="D784" s="222"/>
      <c r="E784" s="14" t="s">
        <v>2122</v>
      </c>
      <c r="F784" s="220" t="str">
        <f>IF(wskakunin_sekou2_TEL="", "", wskakunin_sekou2_TEL)</f>
        <v/>
      </c>
      <c r="H784" s="15"/>
    </row>
    <row r="785" spans="1:8" ht="15" customHeight="1">
      <c r="A785" s="59"/>
      <c r="B785" s="74"/>
      <c r="D785" s="32"/>
      <c r="F785" s="15"/>
      <c r="H785" s="15"/>
    </row>
    <row r="786" spans="1:8" ht="15" customHeight="1">
      <c r="A786" s="50" t="s">
        <v>2188</v>
      </c>
      <c r="B786" s="51"/>
      <c r="D786" s="32"/>
      <c r="F786" s="15"/>
      <c r="H786" s="15"/>
    </row>
    <row r="787" spans="1:8" ht="15" customHeight="1">
      <c r="A787" s="59"/>
      <c r="B787" s="74" t="s">
        <v>19</v>
      </c>
      <c r="C787" s="14" t="s">
        <v>2123</v>
      </c>
      <c r="D787" s="220"/>
      <c r="E787" s="14" t="s">
        <v>2124</v>
      </c>
      <c r="F787" s="220" t="str">
        <f>IF(wskakunin_sekou3_NAME="", "", wskakunin_sekou3_NAME)</f>
        <v/>
      </c>
      <c r="H787" s="15"/>
    </row>
    <row r="788" spans="1:8" ht="15" customHeight="1">
      <c r="A788" s="59"/>
      <c r="B788" s="74" t="s">
        <v>1396</v>
      </c>
      <c r="C788" s="14" t="s">
        <v>2125</v>
      </c>
      <c r="D788" s="220"/>
      <c r="E788" s="14" t="s">
        <v>2126</v>
      </c>
      <c r="F788" s="220" t="str">
        <f>IF(wskakunin_sekou3_SEKOU__sikaku="", "", wskakunin_sekou3_SEKOU__sikaku)</f>
        <v/>
      </c>
      <c r="H788" s="15"/>
    </row>
    <row r="789" spans="1:8" ht="15" customHeight="1">
      <c r="A789" s="59"/>
      <c r="B789" s="74" t="s">
        <v>603</v>
      </c>
      <c r="C789" s="14" t="s">
        <v>2127</v>
      </c>
      <c r="D789" s="220"/>
      <c r="E789" s="14" t="s">
        <v>2128</v>
      </c>
      <c r="F789" s="220" t="str">
        <f>IF(wskakunin_sekou3_SEKOU_SIKAKU__label="", "",wskakunin_sekou3_SEKOU_SIKAKU__label)</f>
        <v/>
      </c>
      <c r="H789" s="15"/>
    </row>
    <row r="790" spans="1:8" ht="15" customHeight="1">
      <c r="A790" s="59"/>
      <c r="B790" s="74" t="s">
        <v>604</v>
      </c>
      <c r="C790" s="14" t="s">
        <v>2129</v>
      </c>
      <c r="D790" s="222"/>
      <c r="E790" s="14" t="s">
        <v>2130</v>
      </c>
      <c r="F790" s="220" t="str">
        <f>IF(wskakunin_sekou3_SEKOU_NO="","",wskakunin_sekou3_SEKOU_NO)</f>
        <v/>
      </c>
      <c r="H790" s="15"/>
    </row>
    <row r="791" spans="1:8" ht="15" customHeight="1">
      <c r="A791" s="59"/>
      <c r="B791" s="74" t="s">
        <v>37</v>
      </c>
      <c r="C791" s="14" t="s">
        <v>2131</v>
      </c>
      <c r="D791" s="220"/>
      <c r="E791" s="14" t="s">
        <v>2132</v>
      </c>
      <c r="F791" s="220" t="str">
        <f>IF(wskakunin_sekou3_JIMU_NAME="", "", wskakunin_sekou3_JIMU_NAME)</f>
        <v/>
      </c>
      <c r="H791" s="15"/>
    </row>
    <row r="792" spans="1:8" ht="15" customHeight="1">
      <c r="A792" s="59"/>
      <c r="B792" s="74" t="s">
        <v>20</v>
      </c>
      <c r="C792" s="14" t="s">
        <v>2133</v>
      </c>
      <c r="D792" s="222"/>
      <c r="E792" s="14" t="s">
        <v>2134</v>
      </c>
      <c r="F792" s="220" t="str">
        <f>IF(wskakunin_sekou3_ZIP="", "", wskakunin_sekou3_ZIP)</f>
        <v/>
      </c>
      <c r="H792" s="15"/>
    </row>
    <row r="793" spans="1:8" ht="15" customHeight="1">
      <c r="A793" s="59"/>
      <c r="B793" s="74" t="s">
        <v>25</v>
      </c>
      <c r="C793" s="14" t="s">
        <v>2135</v>
      </c>
      <c r="D793" s="220"/>
      <c r="E793" s="14" t="s">
        <v>2136</v>
      </c>
      <c r="F793" s="220" t="str">
        <f>IF(wskakunin_sekou3__address="", "", wskakunin_sekou3__address)</f>
        <v/>
      </c>
      <c r="H793" s="15"/>
    </row>
    <row r="794" spans="1:8" ht="15" customHeight="1">
      <c r="A794" s="59"/>
      <c r="B794" s="74" t="s">
        <v>22</v>
      </c>
      <c r="C794" s="14" t="s">
        <v>2137</v>
      </c>
      <c r="D794" s="222"/>
      <c r="E794" s="14" t="s">
        <v>2138</v>
      </c>
      <c r="F794" s="220" t="str">
        <f>IF(wskakunin_sekou3_TEL="", "", wskakunin_sekou3_TEL)</f>
        <v/>
      </c>
      <c r="H794" s="15"/>
    </row>
    <row r="795" spans="1:8" ht="15" customHeight="1">
      <c r="A795" s="59"/>
      <c r="B795" s="74"/>
      <c r="D795" s="32"/>
      <c r="F795" s="15"/>
      <c r="H795" s="15"/>
    </row>
    <row r="796" spans="1:8" ht="15" customHeight="1">
      <c r="A796" s="50" t="s">
        <v>2189</v>
      </c>
      <c r="B796" s="51"/>
      <c r="D796" s="32"/>
      <c r="F796" s="15"/>
      <c r="H796" s="15"/>
    </row>
    <row r="797" spans="1:8" ht="15" customHeight="1">
      <c r="A797" s="59"/>
      <c r="B797" s="74" t="s">
        <v>19</v>
      </c>
      <c r="C797" s="14" t="s">
        <v>2139</v>
      </c>
      <c r="D797" s="220"/>
      <c r="E797" s="14" t="s">
        <v>2140</v>
      </c>
      <c r="F797" s="220" t="str">
        <f>IF(wskakunin_sekou4_NAME="", "", wskakunin_sekou4_NAME)</f>
        <v/>
      </c>
      <c r="H797" s="15"/>
    </row>
    <row r="798" spans="1:8" ht="15" customHeight="1">
      <c r="A798" s="59"/>
      <c r="B798" s="74" t="s">
        <v>1396</v>
      </c>
      <c r="C798" s="14" t="s">
        <v>2141</v>
      </c>
      <c r="D798" s="220"/>
      <c r="E798" s="14" t="s">
        <v>2142</v>
      </c>
      <c r="F798" s="220" t="str">
        <f>IF(wskakunin_sekou4_SEKOU__sikaku="", "", wskakunin_sekou4_SEKOU__sikaku)</f>
        <v/>
      </c>
      <c r="H798" s="15"/>
    </row>
    <row r="799" spans="1:8" ht="15" customHeight="1">
      <c r="A799" s="59"/>
      <c r="B799" s="74" t="s">
        <v>603</v>
      </c>
      <c r="C799" s="14" t="s">
        <v>2143</v>
      </c>
      <c r="D799" s="220"/>
      <c r="E799" s="14" t="s">
        <v>2144</v>
      </c>
      <c r="F799" s="220" t="str">
        <f>IF(wskakunin_sekou4_SEKOU_SIKAKU__label="", "",wskakunin_sekou4_SEKOU_SIKAKU__label)</f>
        <v/>
      </c>
      <c r="H799" s="15"/>
    </row>
    <row r="800" spans="1:8" ht="15" customHeight="1">
      <c r="A800" s="59"/>
      <c r="B800" s="74" t="s">
        <v>604</v>
      </c>
      <c r="C800" s="14" t="s">
        <v>2145</v>
      </c>
      <c r="D800" s="222"/>
      <c r="E800" s="14" t="s">
        <v>2146</v>
      </c>
      <c r="F800" s="220" t="str">
        <f>IF(wskakunin_sekou4_SEKOU_NO="","",wskakunin_sekou4_SEKOU_NO)</f>
        <v/>
      </c>
      <c r="H800" s="15"/>
    </row>
    <row r="801" spans="1:8" ht="15" customHeight="1">
      <c r="A801" s="59"/>
      <c r="B801" s="74" t="s">
        <v>37</v>
      </c>
      <c r="C801" s="14" t="s">
        <v>2147</v>
      </c>
      <c r="D801" s="220"/>
      <c r="E801" s="14" t="s">
        <v>2148</v>
      </c>
      <c r="F801" s="220" t="str">
        <f>IF(wskakunin_sekou4_JIMU_NAME="", "", wskakunin_sekou4_JIMU_NAME)</f>
        <v/>
      </c>
      <c r="H801" s="15"/>
    </row>
    <row r="802" spans="1:8" ht="15" customHeight="1">
      <c r="A802" s="59"/>
      <c r="B802" s="74" t="s">
        <v>20</v>
      </c>
      <c r="C802" s="14" t="s">
        <v>2149</v>
      </c>
      <c r="D802" s="222"/>
      <c r="E802" s="14" t="s">
        <v>2150</v>
      </c>
      <c r="F802" s="220" t="str">
        <f>IF(wskakunin_sekou4_ZIP="", "", wskakunin_sekou4_ZIP)</f>
        <v/>
      </c>
      <c r="H802" s="15"/>
    </row>
    <row r="803" spans="1:8" ht="15" customHeight="1">
      <c r="A803" s="59"/>
      <c r="B803" s="74" t="s">
        <v>25</v>
      </c>
      <c r="C803" s="14" t="s">
        <v>2151</v>
      </c>
      <c r="D803" s="220"/>
      <c r="E803" s="14" t="s">
        <v>2152</v>
      </c>
      <c r="F803" s="220" t="str">
        <f>IF(wskakunin_sekou4__address="", "", wskakunin_sekou4__address)</f>
        <v/>
      </c>
      <c r="H803" s="15"/>
    </row>
    <row r="804" spans="1:8" ht="15" customHeight="1">
      <c r="A804" s="59"/>
      <c r="B804" s="74" t="s">
        <v>22</v>
      </c>
      <c r="C804" s="14" t="s">
        <v>2153</v>
      </c>
      <c r="D804" s="222"/>
      <c r="E804" s="14" t="s">
        <v>2154</v>
      </c>
      <c r="F804" s="220" t="str">
        <f>IF(wskakunin_sekou4_TEL="", "", wskakunin_sekou4_TEL)</f>
        <v/>
      </c>
      <c r="H804" s="15"/>
    </row>
    <row r="805" spans="1:8" ht="15" customHeight="1">
      <c r="A805" s="59"/>
      <c r="B805" s="74"/>
      <c r="D805" s="32"/>
      <c r="F805" s="15"/>
      <c r="H805" s="15"/>
    </row>
    <row r="806" spans="1:8" ht="15" customHeight="1">
      <c r="A806" s="50" t="s">
        <v>2190</v>
      </c>
      <c r="B806" s="51"/>
      <c r="D806" s="32"/>
      <c r="F806" s="15"/>
      <c r="H806" s="15"/>
    </row>
    <row r="807" spans="1:8" ht="15" customHeight="1">
      <c r="A807" s="59"/>
      <c r="B807" s="74" t="s">
        <v>19</v>
      </c>
      <c r="C807" s="14" t="s">
        <v>2155</v>
      </c>
      <c r="D807" s="220"/>
      <c r="E807" s="14" t="s">
        <v>2156</v>
      </c>
      <c r="F807" s="220" t="str">
        <f>IF(wskakunin_sekou5_NAME="", "", wskakunin_sekou5_NAME)</f>
        <v/>
      </c>
      <c r="H807" s="15"/>
    </row>
    <row r="808" spans="1:8" ht="15" customHeight="1">
      <c r="A808" s="59"/>
      <c r="B808" s="74" t="s">
        <v>1396</v>
      </c>
      <c r="C808" s="14" t="s">
        <v>2157</v>
      </c>
      <c r="D808" s="220"/>
      <c r="E808" s="14" t="s">
        <v>2158</v>
      </c>
      <c r="F808" s="220" t="str">
        <f>IF(wskakunin_sekou5_SEKOU__sikaku="", "", wskakunin_sekou5_SEKOU__sikaku)</f>
        <v/>
      </c>
      <c r="H808" s="15"/>
    </row>
    <row r="809" spans="1:8" ht="15" customHeight="1">
      <c r="A809" s="59"/>
      <c r="B809" s="74" t="s">
        <v>603</v>
      </c>
      <c r="C809" s="14" t="s">
        <v>2159</v>
      </c>
      <c r="D809" s="220"/>
      <c r="E809" s="14" t="s">
        <v>2160</v>
      </c>
      <c r="F809" s="220" t="str">
        <f>IF(wskakunin_sekou5_SEKOU_SIKAKU__label="", "",wskakunin_sekou5_SEKOU_SIKAKU__label)</f>
        <v/>
      </c>
      <c r="H809" s="15"/>
    </row>
    <row r="810" spans="1:8" ht="15" customHeight="1">
      <c r="A810" s="59"/>
      <c r="B810" s="74" t="s">
        <v>604</v>
      </c>
      <c r="C810" s="14" t="s">
        <v>2161</v>
      </c>
      <c r="D810" s="222"/>
      <c r="E810" s="14" t="s">
        <v>2162</v>
      </c>
      <c r="F810" s="220" t="str">
        <f>IF(wskakunin_sekou5_SEKOU_NO="","",wskakunin_sekou5_SEKOU_NO)</f>
        <v/>
      </c>
      <c r="H810" s="15"/>
    </row>
    <row r="811" spans="1:8" ht="15" customHeight="1">
      <c r="A811" s="59"/>
      <c r="B811" s="74" t="s">
        <v>37</v>
      </c>
      <c r="C811" s="14" t="s">
        <v>2163</v>
      </c>
      <c r="D811" s="220"/>
      <c r="E811" s="14" t="s">
        <v>2164</v>
      </c>
      <c r="F811" s="220" t="str">
        <f>IF(wskakunin_sekou5_JIMU_NAME="", "", wskakunin_sekou5_JIMU_NAME)</f>
        <v/>
      </c>
      <c r="H811" s="15"/>
    </row>
    <row r="812" spans="1:8" ht="15" customHeight="1">
      <c r="A812" s="59"/>
      <c r="B812" s="74" t="s">
        <v>20</v>
      </c>
      <c r="C812" s="14" t="s">
        <v>2165</v>
      </c>
      <c r="D812" s="222"/>
      <c r="E812" s="14" t="s">
        <v>2166</v>
      </c>
      <c r="F812" s="220" t="str">
        <f>IF(wskakunin_sekou5_ZIP="", "", wskakunin_sekou5_ZIP)</f>
        <v/>
      </c>
      <c r="H812" s="15"/>
    </row>
    <row r="813" spans="1:8" ht="15" customHeight="1">
      <c r="A813" s="59"/>
      <c r="B813" s="74" t="s">
        <v>25</v>
      </c>
      <c r="C813" s="14" t="s">
        <v>2167</v>
      </c>
      <c r="D813" s="220"/>
      <c r="E813" s="14" t="s">
        <v>2168</v>
      </c>
      <c r="F813" s="220" t="str">
        <f>IF(wskakunin_sekou5__address="", "", wskakunin_sekou5__address)</f>
        <v/>
      </c>
      <c r="H813" s="15"/>
    </row>
    <row r="814" spans="1:8" ht="15" customHeight="1">
      <c r="A814" s="59"/>
      <c r="B814" s="74" t="s">
        <v>22</v>
      </c>
      <c r="C814" s="14" t="s">
        <v>2169</v>
      </c>
      <c r="D814" s="222"/>
      <c r="E814" s="14" t="s">
        <v>2170</v>
      </c>
      <c r="F814" s="220" t="str">
        <f>IF(wskakunin_sekou5_TEL="", "", wskakunin_sekou5_TEL)</f>
        <v/>
      </c>
      <c r="H814" s="15"/>
    </row>
    <row r="815" spans="1:8" ht="15" customHeight="1">
      <c r="A815" s="59"/>
      <c r="B815" s="74"/>
      <c r="D815" s="32"/>
      <c r="F815" s="15"/>
      <c r="H815" s="15"/>
    </row>
    <row r="816" spans="1:8" ht="15" customHeight="1">
      <c r="A816" s="50" t="s">
        <v>2191</v>
      </c>
      <c r="B816" s="51"/>
      <c r="D816" s="32"/>
      <c r="F816" s="15"/>
      <c r="H816" s="15"/>
    </row>
    <row r="817" spans="1:8" ht="15" customHeight="1">
      <c r="A817" s="59"/>
      <c r="B817" s="74" t="s">
        <v>19</v>
      </c>
      <c r="C817" s="14" t="s">
        <v>2171</v>
      </c>
      <c r="D817" s="220"/>
      <c r="E817" s="14" t="s">
        <v>2172</v>
      </c>
      <c r="F817" s="220" t="str">
        <f>IF(wskakunin_sekou6_NAME="", "", wskakunin_sekou6_NAME)</f>
        <v/>
      </c>
      <c r="H817" s="15"/>
    </row>
    <row r="818" spans="1:8" ht="15" customHeight="1">
      <c r="A818" s="59"/>
      <c r="B818" s="74" t="s">
        <v>1396</v>
      </c>
      <c r="C818" s="14" t="s">
        <v>2173</v>
      </c>
      <c r="D818" s="220"/>
      <c r="E818" s="14" t="s">
        <v>2174</v>
      </c>
      <c r="F818" s="220" t="str">
        <f>IF(wskakunin_sekou6_SEKOU__sikaku="", "", wskakunin_sekou6_SEKOU__sikaku)</f>
        <v/>
      </c>
      <c r="H818" s="15"/>
    </row>
    <row r="819" spans="1:8" ht="15" customHeight="1">
      <c r="A819" s="59"/>
      <c r="B819" s="74" t="s">
        <v>603</v>
      </c>
      <c r="C819" s="14" t="s">
        <v>2175</v>
      </c>
      <c r="D819" s="220"/>
      <c r="E819" s="14" t="s">
        <v>2176</v>
      </c>
      <c r="F819" s="220" t="str">
        <f>IF(wskakunin_sekou6_SEKOU_SIKAKU__label="", "",wskakunin_sekou6_SEKOU_SIKAKU__label)</f>
        <v/>
      </c>
      <c r="H819" s="15"/>
    </row>
    <row r="820" spans="1:8" ht="15" customHeight="1">
      <c r="A820" s="59"/>
      <c r="B820" s="74" t="s">
        <v>604</v>
      </c>
      <c r="C820" s="14" t="s">
        <v>2177</v>
      </c>
      <c r="D820" s="222"/>
      <c r="E820" s="14" t="s">
        <v>2178</v>
      </c>
      <c r="F820" s="220" t="str">
        <f>IF(wskakunin_sekou6_SEKOU_NO="","",wskakunin_sekou6_SEKOU_NO)</f>
        <v/>
      </c>
      <c r="H820" s="15"/>
    </row>
    <row r="821" spans="1:8" ht="15" customHeight="1">
      <c r="A821" s="59"/>
      <c r="B821" s="74" t="s">
        <v>37</v>
      </c>
      <c r="C821" s="14" t="s">
        <v>2179</v>
      </c>
      <c r="D821" s="220"/>
      <c r="E821" s="14" t="s">
        <v>2180</v>
      </c>
      <c r="F821" s="220" t="str">
        <f>IF(wskakunin_sekou6_JIMU_NAME="", "", wskakunin_sekou6_JIMU_NAME)</f>
        <v/>
      </c>
      <c r="H821" s="15"/>
    </row>
    <row r="822" spans="1:8" ht="15" customHeight="1">
      <c r="A822" s="59"/>
      <c r="B822" s="74" t="s">
        <v>20</v>
      </c>
      <c r="C822" s="14" t="s">
        <v>2181</v>
      </c>
      <c r="D822" s="222"/>
      <c r="E822" s="14" t="s">
        <v>2182</v>
      </c>
      <c r="F822" s="220" t="str">
        <f>IF(wskakunin_sekou6_ZIP="", "", wskakunin_sekou6_ZIP)</f>
        <v/>
      </c>
      <c r="H822" s="15"/>
    </row>
    <row r="823" spans="1:8" ht="15" customHeight="1">
      <c r="A823" s="59"/>
      <c r="B823" s="74" t="s">
        <v>25</v>
      </c>
      <c r="C823" s="14" t="s">
        <v>2183</v>
      </c>
      <c r="D823" s="220"/>
      <c r="E823" s="14" t="s">
        <v>2184</v>
      </c>
      <c r="F823" s="220" t="str">
        <f>IF(wskakunin_sekou6__address="", "", wskakunin_sekou6__address)</f>
        <v/>
      </c>
      <c r="H823" s="15"/>
    </row>
    <row r="824" spans="1:8" ht="15" customHeight="1">
      <c r="A824" s="59"/>
      <c r="B824" s="74" t="s">
        <v>22</v>
      </c>
      <c r="C824" s="14" t="s">
        <v>2185</v>
      </c>
      <c r="D824" s="222"/>
      <c r="E824" s="14" t="s">
        <v>2186</v>
      </c>
      <c r="F824" s="220" t="str">
        <f>IF(wskakunin_sekou6_TEL="", "", wskakunin_sekou6_TEL)</f>
        <v/>
      </c>
      <c r="H824" s="15"/>
    </row>
    <row r="825" spans="1:8" ht="15" customHeight="1">
      <c r="A825" s="59"/>
      <c r="B825" s="74"/>
      <c r="D825" s="32"/>
      <c r="F825" s="15"/>
      <c r="G825" s="15"/>
      <c r="H825" s="15"/>
    </row>
    <row r="826" spans="1:8" ht="15" customHeight="1">
      <c r="A826" s="62" t="s">
        <v>626</v>
      </c>
      <c r="B826" s="57"/>
      <c r="D826" s="32"/>
      <c r="F826" s="15"/>
      <c r="G826" s="15"/>
      <c r="H826" s="15"/>
    </row>
    <row r="827" spans="1:8" ht="15" customHeight="1">
      <c r="A827" s="59"/>
      <c r="B827" s="52" t="s">
        <v>878</v>
      </c>
      <c r="D827" s="15"/>
      <c r="E827" s="14" t="s">
        <v>879</v>
      </c>
      <c r="F827" s="220" t="b">
        <f>IF(ISERROR(FIND("一建設", cst_wskakunin_sekou1_JIMU_NAME)), FALSE, FIND("一建設", cst_wskakunin_sekou1_JIMU_NAME)=1)</f>
        <v>0</v>
      </c>
      <c r="G827" s="15" t="s">
        <v>880</v>
      </c>
    </row>
    <row r="828" spans="1:8" ht="15" customHeight="1">
      <c r="A828" s="59"/>
      <c r="B828" s="53" t="s">
        <v>881</v>
      </c>
      <c r="D828" s="15"/>
      <c r="E828" s="14" t="s">
        <v>882</v>
      </c>
      <c r="F828" s="220">
        <f>IF(ISERROR(FIND("ケイアイスター不動産", cst_wskakunin_sekou1_JIMU_NAME)), 0, 1)</f>
        <v>0</v>
      </c>
      <c r="G828" s="15"/>
      <c r="H828" s="15"/>
    </row>
    <row r="829" spans="1:8" ht="15" customHeight="1">
      <c r="A829" s="60"/>
      <c r="B829" s="54"/>
      <c r="D829" s="15"/>
      <c r="F829" s="15"/>
      <c r="G829" s="15"/>
      <c r="H829" s="15"/>
    </row>
    <row r="830" spans="1:8" ht="15" customHeight="1">
      <c r="A830" s="44" t="s">
        <v>35</v>
      </c>
      <c r="B830" s="45"/>
      <c r="C830" s="14" t="s">
        <v>883</v>
      </c>
      <c r="D830" s="143" t="s">
        <v>3894</v>
      </c>
      <c r="E830" s="14" t="s">
        <v>884</v>
      </c>
      <c r="F830" s="143" t="str">
        <f>IF(wskakunin_BUILD_NAME="", "",wskakunin_BUILD_NAME)</f>
        <v>練習用</v>
      </c>
      <c r="G830" s="15"/>
      <c r="H830" s="15"/>
    </row>
    <row r="831" spans="1:8" ht="15" customHeight="1">
      <c r="A831" s="49"/>
      <c r="B831" s="61" t="s">
        <v>27</v>
      </c>
      <c r="C831" s="14" t="s">
        <v>2612</v>
      </c>
      <c r="D831" s="228"/>
      <c r="E831" s="14" t="s">
        <v>2677</v>
      </c>
      <c r="F831" s="228" t="str">
        <f>IF(wskakunin_BUILD_NAME_KANA="","",wskakunin_BUILD_NAME_KANA)</f>
        <v/>
      </c>
      <c r="G831" s="15"/>
      <c r="H831" s="15"/>
    </row>
    <row r="832" spans="1:8" ht="15" customHeight="1">
      <c r="A832" s="96" t="s">
        <v>2257</v>
      </c>
      <c r="B832" s="97"/>
      <c r="C832" s="14" t="s">
        <v>2258</v>
      </c>
      <c r="D832" s="143"/>
      <c r="E832" s="14" t="s">
        <v>2259</v>
      </c>
      <c r="F832" s="143" t="str">
        <f>IF(wskakunin_P2_BIKOU="","",wskakunin_P2_BIKOU)</f>
        <v/>
      </c>
    </row>
    <row r="833" spans="1:8" ht="15" customHeight="1">
      <c r="A833" s="49"/>
      <c r="B833" s="61"/>
    </row>
    <row r="835" spans="1:8" ht="15" customHeight="1">
      <c r="A835" s="46" t="s">
        <v>531</v>
      </c>
      <c r="B835" s="47"/>
      <c r="G835" s="15"/>
      <c r="H835" s="15"/>
    </row>
    <row r="836" spans="1:8" ht="15" customHeight="1">
      <c r="A836" s="48"/>
      <c r="B836" s="72" t="s">
        <v>885</v>
      </c>
      <c r="C836" s="14" t="s">
        <v>886</v>
      </c>
      <c r="D836" s="143"/>
      <c r="G836" s="15"/>
      <c r="H836" s="15"/>
    </row>
    <row r="837" spans="1:8" ht="15" customHeight="1">
      <c r="A837" s="48"/>
      <c r="B837" s="71" t="s">
        <v>887</v>
      </c>
      <c r="E837" s="14" t="s">
        <v>888</v>
      </c>
      <c r="F837" s="42" t="str">
        <f>IF(wskakunin_tekihan01_TEKIHAN_STATE=1,"■","□")</f>
        <v>□</v>
      </c>
      <c r="G837" s="15"/>
      <c r="H837" s="15"/>
    </row>
    <row r="838" spans="1:8" ht="15" customHeight="1">
      <c r="A838" s="48"/>
      <c r="B838" s="71" t="s">
        <v>605</v>
      </c>
      <c r="E838" s="14" t="s">
        <v>614</v>
      </c>
      <c r="F838" s="42" t="str">
        <f>IF(wskakunin_tekihan01_TEKIHAN_STATE=2,"■","□")</f>
        <v>□</v>
      </c>
      <c r="G838" s="15"/>
      <c r="H838" s="15"/>
    </row>
    <row r="839" spans="1:8" ht="15" customHeight="1">
      <c r="A839" s="48"/>
      <c r="B839" s="71" t="s">
        <v>606</v>
      </c>
      <c r="E839" s="14" t="s">
        <v>615</v>
      </c>
      <c r="F839" s="42" t="str">
        <f>IF(wskakunin_tekihan01_TEKIHAN_STATE=3,"■","□")</f>
        <v>□</v>
      </c>
      <c r="G839" s="15"/>
      <c r="H839" s="15"/>
    </row>
    <row r="840" spans="1:8" ht="15" customHeight="1">
      <c r="A840" s="48"/>
      <c r="B840" s="72" t="s">
        <v>532</v>
      </c>
      <c r="C840" s="14" t="s">
        <v>889</v>
      </c>
      <c r="D840" s="143"/>
      <c r="E840" s="14" t="s">
        <v>890</v>
      </c>
      <c r="F840" s="42" t="str">
        <f>IF(wskakunin_tekihan01_TEKIHAN_KIKAN_NAME="","",wskakunin_tekihan01_TEKIHAN_KIKAN_NAME)</f>
        <v/>
      </c>
      <c r="G840" s="15"/>
      <c r="H840" s="15"/>
    </row>
    <row r="841" spans="1:8" ht="15" customHeight="1">
      <c r="A841" s="48"/>
      <c r="B841" s="72" t="s">
        <v>533</v>
      </c>
      <c r="C841" s="14" t="s">
        <v>891</v>
      </c>
      <c r="D841" s="143"/>
      <c r="E841" s="14" t="s">
        <v>892</v>
      </c>
      <c r="F841" s="42" t="str">
        <f>IF(wskakunin_tekihan01_TEKIHAN_KIKAN_KEN__ken="","",wskakunin_tekihan01_TEKIHAN_KIKAN_KEN__ken)</f>
        <v/>
      </c>
      <c r="G841" s="15"/>
      <c r="H841" s="15"/>
    </row>
    <row r="842" spans="1:8" ht="15" customHeight="1">
      <c r="A842" s="48"/>
      <c r="B842" s="72" t="s">
        <v>534</v>
      </c>
      <c r="C842" s="14" t="s">
        <v>893</v>
      </c>
      <c r="D842" s="143"/>
      <c r="E842" s="14" t="s">
        <v>894</v>
      </c>
      <c r="F842" s="42" t="str">
        <f>IF(wskakunin_tekihan01_TEKIHAN_KIKAN_ADDRESS="","",wskakunin_tekihan01_TEKIHAN_KIKAN_ADDRESS)</f>
        <v/>
      </c>
      <c r="G842" s="15"/>
      <c r="H842" s="15"/>
    </row>
    <row r="843" spans="1:8" ht="15" customHeight="1">
      <c r="A843" s="48"/>
      <c r="B843" s="72" t="s">
        <v>616</v>
      </c>
      <c r="D843" s="143"/>
      <c r="E843" s="14" t="s">
        <v>895</v>
      </c>
      <c r="F843" s="42" t="str">
        <f>cst_wskakunin_tekihan01_TEKIHAN_KIKAN_NAME&amp;IF(OR(cst_wskakunin_tekihan01_TEKIHAN_KIKAN_KEN__ken&lt;&gt;"",cst_wskakunin_tekihan01_TEKIHAN_KIKAN_ADDRESS&lt;&gt;""),"  ","")&amp;cst_wskakunin_tekihan01_TEKIHAN_KIKAN_KEN__ken&amp;cst_wskakunin_tekihan01_TEKIHAN_KIKAN_ADDRESS</f>
        <v/>
      </c>
      <c r="G843" s="15"/>
      <c r="H843" s="15"/>
    </row>
    <row r="844" spans="1:8" ht="15" customHeight="1">
      <c r="A844" s="48"/>
      <c r="B844" s="72" t="s">
        <v>532</v>
      </c>
      <c r="C844" s="14" t="s">
        <v>896</v>
      </c>
      <c r="D844" s="143"/>
      <c r="E844" s="14" t="s">
        <v>897</v>
      </c>
      <c r="F844" s="42" t="str">
        <f>IF(wskakunin_tekihan02_TEKIHAN_KIKAN_NAME="","",wskakunin_tekihan02_TEKIHAN_KIKAN_NAME)</f>
        <v/>
      </c>
      <c r="G844" s="15"/>
      <c r="H844" s="15"/>
    </row>
    <row r="845" spans="1:8" ht="15" customHeight="1">
      <c r="A845" s="48"/>
      <c r="B845" s="72" t="s">
        <v>533</v>
      </c>
      <c r="C845" s="14" t="s">
        <v>898</v>
      </c>
      <c r="D845" s="143"/>
      <c r="E845" s="14" t="s">
        <v>899</v>
      </c>
      <c r="F845" s="42" t="str">
        <f>IF(wskakunin_tekihan02_TEKIHAN_KIKAN_KEN__ken="","",wskakunin_tekihan02_TEKIHAN_KIKAN_KEN__ken)</f>
        <v/>
      </c>
      <c r="G845" s="15"/>
      <c r="H845" s="15"/>
    </row>
    <row r="846" spans="1:8" ht="15" customHeight="1">
      <c r="A846" s="48"/>
      <c r="B846" s="72" t="s">
        <v>534</v>
      </c>
      <c r="C846" s="14" t="s">
        <v>900</v>
      </c>
      <c r="D846" s="143"/>
      <c r="E846" s="14" t="s">
        <v>901</v>
      </c>
      <c r="F846" s="42" t="str">
        <f>IF(wskakunin_tekihan02_TEKIHAN_KIKAN_ADDRESS="","",wskakunin_tekihan02_TEKIHAN_KIKAN_ADDRESS)</f>
        <v/>
      </c>
      <c r="G846" s="15"/>
      <c r="H846" s="15"/>
    </row>
    <row r="847" spans="1:8" ht="15" customHeight="1">
      <c r="A847" s="48"/>
      <c r="B847" s="72" t="s">
        <v>616</v>
      </c>
      <c r="D847" s="143"/>
      <c r="E847" s="14" t="s">
        <v>902</v>
      </c>
      <c r="F847" s="42" t="str">
        <f>cst_wskakunin_tekihan02_TEKIHAN_KIKAN_NAME&amp;IF(OR(cst_wskakunin_tekihan02_TEKIHAN_KIKAN_KEN__ken&lt;&gt;"",cst_wskakunin_tekihan02_TEKIHAN_KIKAN_ADDRESS&lt;&gt;""),"  ","")&amp;cst_wskakunin_tekihan02_TEKIHAN_KIKAN_KEN__ken&amp;cst_wskakunin_tekihan02_TEKIHAN_KIKAN_ADDRESS</f>
        <v/>
      </c>
      <c r="G847" s="15"/>
      <c r="H847" s="15"/>
    </row>
    <row r="848" spans="1:8" ht="15" customHeight="1">
      <c r="A848" s="48"/>
      <c r="B848" s="73"/>
      <c r="G848" s="15"/>
      <c r="H848" s="15"/>
    </row>
    <row r="849" spans="1:8" ht="15" customHeight="1">
      <c r="A849" s="46" t="s">
        <v>628</v>
      </c>
      <c r="B849" s="47"/>
      <c r="G849" s="15"/>
      <c r="H849" s="15"/>
    </row>
    <row r="850" spans="1:8" ht="15" customHeight="1">
      <c r="A850" s="48"/>
      <c r="B850" s="71" t="s">
        <v>535</v>
      </c>
      <c r="C850" s="14" t="s">
        <v>903</v>
      </c>
      <c r="D850" s="42"/>
      <c r="G850" s="15"/>
      <c r="H850" s="15"/>
    </row>
    <row r="851" spans="1:8" ht="15" customHeight="1">
      <c r="A851" s="48"/>
      <c r="B851" s="71" t="s">
        <v>607</v>
      </c>
      <c r="E851" s="14" t="s">
        <v>904</v>
      </c>
      <c r="F851" s="42" t="str">
        <f>IF(wskakunin_ecotekihan01_TEKIHAN_STATE=1,"■","□")</f>
        <v>□</v>
      </c>
      <c r="G851" s="15">
        <v>1</v>
      </c>
      <c r="H851" s="15"/>
    </row>
    <row r="852" spans="1:8" ht="15" customHeight="1">
      <c r="A852" s="48"/>
      <c r="B852" s="71" t="s">
        <v>608</v>
      </c>
      <c r="E852" s="14" t="s">
        <v>905</v>
      </c>
      <c r="F852" s="42" t="str">
        <f>IF(wskakunin_ecotekihan01_TEKIHAN_STATE=2,"■","□")</f>
        <v>□</v>
      </c>
      <c r="G852" s="15">
        <v>2</v>
      </c>
      <c r="H852" s="15"/>
    </row>
    <row r="853" spans="1:8" ht="15" customHeight="1">
      <c r="A853" s="48"/>
      <c r="B853" s="71" t="s">
        <v>609</v>
      </c>
      <c r="E853" s="14" t="s">
        <v>906</v>
      </c>
      <c r="F853" s="42" t="str">
        <f>IF(wskakunin_ecotekihan01_TEKIHAN_STATE=3,"■","□")</f>
        <v>□</v>
      </c>
      <c r="G853" s="15">
        <v>3</v>
      </c>
      <c r="H853" s="15"/>
    </row>
    <row r="854" spans="1:8" ht="15" customHeight="1">
      <c r="A854" s="48"/>
      <c r="B854" s="72" t="s">
        <v>532</v>
      </c>
      <c r="C854" s="14" t="s">
        <v>907</v>
      </c>
      <c r="D854" s="42"/>
      <c r="E854" s="14" t="s">
        <v>908</v>
      </c>
      <c r="F854" s="42" t="str">
        <f>IF(wskakunin_ecotekihan01_TEKIHAN_KIKAN_NAME="","",wskakunin_ecotekihan01_TEKIHAN_KIKAN_NAME)</f>
        <v/>
      </c>
      <c r="G854" s="15"/>
      <c r="H854" s="15"/>
    </row>
    <row r="855" spans="1:8" ht="15" customHeight="1">
      <c r="A855" s="48"/>
      <c r="B855" s="72" t="s">
        <v>533</v>
      </c>
      <c r="C855" s="14" t="s">
        <v>909</v>
      </c>
      <c r="D855" s="42"/>
      <c r="E855" s="14" t="s">
        <v>910</v>
      </c>
      <c r="F855" s="42" t="str">
        <f>IF(wskakunin_ecotekihan01_TEKIHAN_KIKAN_KEN__ken="","",wskakunin_ecotekihan01_TEKIHAN_KIKAN_KEN__ken)</f>
        <v/>
      </c>
      <c r="G855" s="15"/>
      <c r="H855" s="15"/>
    </row>
    <row r="856" spans="1:8" ht="15" customHeight="1">
      <c r="A856" s="48"/>
      <c r="B856" s="72" t="s">
        <v>534</v>
      </c>
      <c r="C856" s="14" t="s">
        <v>911</v>
      </c>
      <c r="D856" s="42"/>
      <c r="E856" s="14" t="s">
        <v>912</v>
      </c>
      <c r="F856" s="42" t="str">
        <f>IF(wskakunin_ecotekihan01_TEKIHAN_KIKAN_ADDRESS="","",wskakunin_ecotekihan01_TEKIHAN_KIKAN_ADDRESS)</f>
        <v/>
      </c>
      <c r="G856" s="15"/>
      <c r="H856" s="15"/>
    </row>
    <row r="857" spans="1:8" ht="15" customHeight="1">
      <c r="A857" s="48"/>
      <c r="B857" s="72"/>
      <c r="G857" s="15"/>
      <c r="H857" s="15"/>
    </row>
    <row r="858" spans="1:8" ht="15" customHeight="1">
      <c r="A858" s="48"/>
      <c r="B858" s="72" t="s">
        <v>629</v>
      </c>
      <c r="E858" s="14" t="s">
        <v>913</v>
      </c>
      <c r="F858" s="42"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858" s="15"/>
      <c r="H858" s="15"/>
    </row>
    <row r="859" spans="1:8" ht="15" customHeight="1">
      <c r="A859" s="48"/>
      <c r="B859" s="72" t="s">
        <v>630</v>
      </c>
      <c r="E859" s="14" t="s">
        <v>914</v>
      </c>
      <c r="F859" s="42"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859" s="15"/>
      <c r="H859" s="15"/>
    </row>
    <row r="860" spans="1:8" ht="15" customHeight="1">
      <c r="A860" s="48"/>
      <c r="B860" s="72" t="s">
        <v>619</v>
      </c>
      <c r="C860" s="14" t="s">
        <v>915</v>
      </c>
      <c r="D860" s="42"/>
      <c r="E860" s="14" t="s">
        <v>627</v>
      </c>
      <c r="F860" s="42" t="str">
        <f>IF(wskakunin_ecotekihan01_FUYOU_CAUSE="","",wskakunin_ecotekihan01_FUYOU_CAUSE)</f>
        <v/>
      </c>
      <c r="G860" s="15"/>
      <c r="H860" s="15"/>
    </row>
    <row r="861" spans="1:8" ht="15" customHeight="1">
      <c r="A861" s="49"/>
      <c r="B861" s="73"/>
      <c r="G861" s="15"/>
      <c r="H861" s="15"/>
    </row>
    <row r="862" spans="1:8" ht="15" customHeight="1">
      <c r="G862" s="15"/>
      <c r="H862" s="15"/>
    </row>
    <row r="863" spans="1:8" ht="15" customHeight="1">
      <c r="A863" s="50" t="s">
        <v>36</v>
      </c>
      <c r="B863" s="109"/>
      <c r="G863" s="15"/>
      <c r="H863" s="15"/>
    </row>
    <row r="864" spans="1:8" ht="15" customHeight="1">
      <c r="A864" s="192" t="s">
        <v>1193</v>
      </c>
      <c r="B864" s="74" t="s">
        <v>26</v>
      </c>
      <c r="C864" s="14" t="s">
        <v>916</v>
      </c>
      <c r="D864" s="220"/>
      <c r="E864" s="14" t="s">
        <v>917</v>
      </c>
      <c r="F864" s="220" t="str">
        <f>IF(wskakunin_p4_1_youto1_YOUTO="", "", wskakunin_p4_1_youto1_YOUTO)</f>
        <v/>
      </c>
      <c r="G864" s="15"/>
      <c r="H864" s="15"/>
    </row>
    <row r="865" spans="1:8" ht="15" customHeight="1">
      <c r="A865" s="110"/>
      <c r="B865" s="74" t="s">
        <v>918</v>
      </c>
      <c r="C865" s="14" t="s">
        <v>919</v>
      </c>
      <c r="D865" s="222"/>
      <c r="E865" s="14" t="s">
        <v>920</v>
      </c>
      <c r="F865" s="220" t="str">
        <f>IF(wskakunin_p4_1_youto1_YOUTO_CODE="","",wskakunin_p4_1_youto1_YOUTO_CODE)</f>
        <v/>
      </c>
      <c r="G865" s="15"/>
      <c r="H865" s="15"/>
    </row>
    <row r="866" spans="1:8" ht="15" customHeight="1">
      <c r="A866" s="110"/>
      <c r="B866" s="74" t="s">
        <v>921</v>
      </c>
      <c r="C866" s="103"/>
      <c r="D866" s="222"/>
      <c r="E866" s="14" t="s">
        <v>922</v>
      </c>
      <c r="F866" s="220"/>
      <c r="G866" s="15"/>
      <c r="H866" s="15"/>
    </row>
    <row r="867" spans="1:8" ht="15" customHeight="1">
      <c r="A867" s="110"/>
      <c r="B867" s="74" t="s">
        <v>923</v>
      </c>
      <c r="C867" s="103"/>
      <c r="D867" s="222"/>
      <c r="E867" s="14" t="s">
        <v>924</v>
      </c>
      <c r="F867" s="220"/>
      <c r="G867" s="15"/>
      <c r="H867" s="15"/>
    </row>
    <row r="868" spans="1:8" ht="15" customHeight="1">
      <c r="A868" s="110"/>
      <c r="B868" s="74" t="s">
        <v>925</v>
      </c>
      <c r="C868" s="103"/>
      <c r="D868" s="222"/>
      <c r="E868" s="14" t="s">
        <v>926</v>
      </c>
      <c r="F868" s="220"/>
      <c r="G868" s="15"/>
      <c r="H868" s="15"/>
    </row>
    <row r="869" spans="1:8" ht="15" customHeight="1">
      <c r="A869" s="110"/>
      <c r="B869" s="74" t="s">
        <v>927</v>
      </c>
      <c r="C869" s="103"/>
      <c r="D869" s="222"/>
      <c r="E869" s="14" t="s">
        <v>928</v>
      </c>
      <c r="F869" s="220"/>
      <c r="G869" s="15"/>
      <c r="H869" s="15"/>
    </row>
    <row r="870" spans="1:8" ht="15" customHeight="1">
      <c r="A870" s="110"/>
      <c r="B870" s="74" t="s">
        <v>929</v>
      </c>
      <c r="C870" s="103"/>
      <c r="D870" s="222"/>
      <c r="E870" s="14" t="s">
        <v>930</v>
      </c>
      <c r="F870" s="220"/>
      <c r="G870" s="15"/>
      <c r="H870" s="15"/>
    </row>
    <row r="871" spans="1:8" ht="15" customHeight="1">
      <c r="A871" s="110"/>
      <c r="B871" s="74" t="s">
        <v>931</v>
      </c>
      <c r="C871" s="103"/>
      <c r="D871" s="222"/>
      <c r="E871" s="14" t="s">
        <v>932</v>
      </c>
      <c r="F871" s="220"/>
      <c r="G871" s="15"/>
      <c r="H871" s="15"/>
    </row>
    <row r="872" spans="1:8" ht="15" customHeight="1">
      <c r="A872" s="110"/>
      <c r="B872" s="74" t="s">
        <v>5</v>
      </c>
      <c r="C872" s="103"/>
      <c r="D872" s="222"/>
      <c r="E872" s="14" t="s">
        <v>933</v>
      </c>
      <c r="F872" s="230" t="str">
        <f>IF(D865="08010","○","")</f>
        <v/>
      </c>
      <c r="G872" s="15"/>
      <c r="H872" s="15"/>
    </row>
    <row r="873" spans="1:8" ht="15" customHeight="1">
      <c r="A873" s="59"/>
      <c r="B873" s="74" t="s">
        <v>39</v>
      </c>
      <c r="C873" s="14" t="s">
        <v>934</v>
      </c>
      <c r="D873" s="220"/>
      <c r="E873" s="14" t="s">
        <v>935</v>
      </c>
      <c r="F873" s="220" t="str">
        <f>IF(wskakunin_p4_1__kouji="", "", wskakunin_p4_1__kouji)</f>
        <v/>
      </c>
      <c r="G873" s="15"/>
      <c r="H873" s="15"/>
    </row>
    <row r="874" spans="1:8" ht="15" customHeight="1">
      <c r="A874" s="59"/>
      <c r="B874" s="74" t="s">
        <v>40</v>
      </c>
      <c r="C874" s="14" t="s">
        <v>936</v>
      </c>
      <c r="D874" s="220"/>
      <c r="E874" s="14" t="s">
        <v>937</v>
      </c>
      <c r="F874" s="220" t="str">
        <f>IF(wskakunin_p4_1_KAISU_TIKAI_NOZOKU="", "", wskakunin_p4_1_KAISU_TIKAI_NOZOKU)</f>
        <v/>
      </c>
      <c r="G874" s="15"/>
      <c r="H874" s="15"/>
    </row>
    <row r="875" spans="1:8" ht="15" customHeight="1">
      <c r="A875" s="59"/>
      <c r="B875" s="74" t="s">
        <v>41</v>
      </c>
      <c r="C875" s="14" t="s">
        <v>938</v>
      </c>
      <c r="D875" s="220"/>
      <c r="E875" s="14" t="s">
        <v>939</v>
      </c>
      <c r="F875" s="220" t="str">
        <f>IF(wskakunin_p4_1_KAISU_TIKAI="", "", wskakunin_p4_1_KAISU_TIKAI)</f>
        <v/>
      </c>
      <c r="G875" s="15"/>
      <c r="H875" s="15"/>
    </row>
    <row r="876" spans="1:8" ht="15" customHeight="1">
      <c r="A876" s="59"/>
      <c r="B876" s="74" t="s">
        <v>42</v>
      </c>
      <c r="C876" s="14" t="s">
        <v>940</v>
      </c>
      <c r="D876" s="220"/>
      <c r="E876" s="14" t="s">
        <v>941</v>
      </c>
      <c r="F876" s="220" t="str">
        <f>IF(wskakunin_p4_1_KOUZOU1="", "", wskakunin_p4_1_KOUZOU1)</f>
        <v/>
      </c>
      <c r="G876" s="15"/>
      <c r="H876" s="15"/>
    </row>
    <row r="877" spans="1:8" ht="15" customHeight="1">
      <c r="A877" s="59"/>
      <c r="B877" s="74" t="s">
        <v>43</v>
      </c>
      <c r="C877" s="14" t="s">
        <v>942</v>
      </c>
      <c r="D877" s="220"/>
      <c r="E877" s="14" t="s">
        <v>943</v>
      </c>
      <c r="F877" s="220" t="str">
        <f>IF(wskakunin_p4_1_KOUZOU2="", "", wskakunin_p4_1_KOUZOU2)</f>
        <v/>
      </c>
      <c r="G877" s="15"/>
      <c r="H877" s="15"/>
    </row>
    <row r="878" spans="1:8" ht="15" customHeight="1">
      <c r="A878" s="59"/>
      <c r="B878" s="74" t="s">
        <v>44</v>
      </c>
      <c r="C878" s="14" t="s">
        <v>944</v>
      </c>
      <c r="D878" s="229"/>
      <c r="E878" s="14" t="s">
        <v>945</v>
      </c>
      <c r="F878" s="220" t="str">
        <f>IF(wskakunin_p4_1_TAKASA_MAX="", "", wskakunin_p4_1_TAKASA_MAX)</f>
        <v/>
      </c>
      <c r="G878" s="15"/>
      <c r="H878" s="15"/>
    </row>
    <row r="879" spans="1:8" ht="15" customHeight="1">
      <c r="A879" s="59"/>
      <c r="B879" s="74" t="s">
        <v>45</v>
      </c>
      <c r="C879" s="14" t="s">
        <v>946</v>
      </c>
      <c r="D879" s="229"/>
      <c r="E879" s="14" t="s">
        <v>947</v>
      </c>
      <c r="F879" s="220" t="str">
        <f>IF(wskakunin_p4_1_TAKASA_KEN_MAX="", "", wskakunin_p4_1_TAKASA_KEN_MAX)</f>
        <v/>
      </c>
      <c r="G879" s="15"/>
      <c r="H879" s="15"/>
    </row>
    <row r="880" spans="1:8" ht="15" customHeight="1">
      <c r="A880" s="59"/>
      <c r="B880" s="52" t="s">
        <v>2508</v>
      </c>
      <c r="C880" s="14" t="s">
        <v>2509</v>
      </c>
      <c r="D880" s="229"/>
      <c r="E880" s="14" t="s">
        <v>2510</v>
      </c>
      <c r="F880" s="220" t="str">
        <f>IF(wskakunin_p4_1_YUKA_MENSEKI_SHINSEI="","",wskakunin_p4_1_YUKA_MENSEKI_SHINSEI)</f>
        <v/>
      </c>
      <c r="G880" s="15"/>
      <c r="H880" s="15"/>
    </row>
    <row r="881" spans="1:8" ht="15" customHeight="1">
      <c r="A881" s="60"/>
      <c r="B881" s="112"/>
      <c r="D881" s="190"/>
      <c r="F881" s="15"/>
      <c r="G881" s="15"/>
      <c r="H881" s="15"/>
    </row>
    <row r="882" spans="1:8" ht="15" customHeight="1">
      <c r="A882" s="191" t="s">
        <v>1200</v>
      </c>
      <c r="B882" s="74" t="s">
        <v>40</v>
      </c>
      <c r="C882" s="14" t="s">
        <v>2511</v>
      </c>
      <c r="D882" s="229"/>
      <c r="E882" s="14" t="s">
        <v>2517</v>
      </c>
      <c r="F882" s="220" t="str">
        <f>IF(wskakunin_p4_2_KAISU_TIKAI_NOZOKU="","",wskakunin_p4_2_KAISU_TIKAI_NOZOKU)</f>
        <v/>
      </c>
      <c r="G882" s="15"/>
      <c r="H882" s="15"/>
    </row>
    <row r="883" spans="1:8" ht="15" customHeight="1">
      <c r="A883" s="59"/>
      <c r="B883" s="74" t="s">
        <v>41</v>
      </c>
      <c r="C883" s="14" t="s">
        <v>2513</v>
      </c>
      <c r="D883" s="229"/>
      <c r="E883" s="14" t="s">
        <v>2518</v>
      </c>
      <c r="F883" s="220" t="str">
        <f>IF(wskakunin_p4_2_KAISU_TIKAI="","",wskakunin_p4_2_KAISU_TIKAI)</f>
        <v/>
      </c>
      <c r="G883" s="15"/>
      <c r="H883" s="15"/>
    </row>
    <row r="884" spans="1:8" ht="15" customHeight="1">
      <c r="A884" s="59"/>
      <c r="B884" s="52" t="s">
        <v>2508</v>
      </c>
      <c r="C884" s="14" t="s">
        <v>2514</v>
      </c>
      <c r="D884" s="229"/>
      <c r="E884" s="14" t="s">
        <v>2519</v>
      </c>
      <c r="F884" s="220" t="str">
        <f>IF(wskakunin_p4_2_YUKA_MENSEKI_SHINSEI="","",wskakunin_p4_2_YUKA_MENSEKI_SHINSEI)</f>
        <v/>
      </c>
      <c r="G884" s="15"/>
      <c r="H884" s="15"/>
    </row>
    <row r="885" spans="1:8" ht="15" customHeight="1">
      <c r="A885" s="60"/>
      <c r="B885" s="112"/>
      <c r="D885" s="190"/>
      <c r="F885" s="15"/>
      <c r="G885" s="15"/>
      <c r="H885" s="15"/>
    </row>
    <row r="886" spans="1:8" ht="15" customHeight="1">
      <c r="A886" s="191" t="s">
        <v>1204</v>
      </c>
      <c r="B886" s="74" t="s">
        <v>40</v>
      </c>
      <c r="C886" s="14" t="s">
        <v>2515</v>
      </c>
      <c r="D886" s="229"/>
      <c r="E886" s="14" t="s">
        <v>2520</v>
      </c>
      <c r="F886" s="220" t="str">
        <f>IF(wskakunin_p4_3_KAISU_TIKAI_NOZOKU="","",wskakunin_p4_3_KAISU_TIKAI_NOZOKU)</f>
        <v/>
      </c>
      <c r="G886" s="15"/>
      <c r="H886" s="15"/>
    </row>
    <row r="887" spans="1:8" ht="15" customHeight="1">
      <c r="A887" s="59"/>
      <c r="B887" s="74" t="s">
        <v>41</v>
      </c>
      <c r="C887" s="14" t="s">
        <v>2512</v>
      </c>
      <c r="D887" s="229"/>
      <c r="E887" s="14" t="s">
        <v>2521</v>
      </c>
      <c r="F887" s="220" t="str">
        <f>IF(wskakunin_p4_3_KAISU_TIKAI="","",wskakunin_p4_3_KAISU_TIKAI)</f>
        <v/>
      </c>
      <c r="G887" s="15"/>
      <c r="H887" s="15"/>
    </row>
    <row r="888" spans="1:8" ht="15" customHeight="1">
      <c r="A888" s="59"/>
      <c r="B888" s="52" t="s">
        <v>2508</v>
      </c>
      <c r="C888" s="14" t="s">
        <v>2516</v>
      </c>
      <c r="D888" s="229"/>
      <c r="E888" s="14" t="s">
        <v>2522</v>
      </c>
      <c r="F888" s="220" t="str">
        <f>IF(wskakunin_p4_3_YUKA_MENSEKI_SHINSEI="","",wskakunin_p4_3_YUKA_MENSEKI_SHINSEI)</f>
        <v/>
      </c>
      <c r="G888" s="15"/>
      <c r="H888" s="15"/>
    </row>
    <row r="889" spans="1:8" ht="15" customHeight="1">
      <c r="A889" s="60"/>
      <c r="B889" s="112"/>
      <c r="D889" s="190"/>
      <c r="F889" s="15"/>
      <c r="G889" s="15"/>
      <c r="H889" s="15"/>
    </row>
    <row r="890" spans="1:8" ht="15" customHeight="1">
      <c r="A890" s="191" t="s">
        <v>3616</v>
      </c>
      <c r="B890" s="74" t="s">
        <v>3617</v>
      </c>
      <c r="C890" s="14" t="s">
        <v>3618</v>
      </c>
      <c r="D890" s="229"/>
      <c r="F890" s="15"/>
      <c r="G890" s="15"/>
      <c r="H890" s="15"/>
    </row>
    <row r="891" spans="1:8" ht="15" customHeight="1">
      <c r="A891" s="59"/>
      <c r="B891" s="74"/>
      <c r="C891" s="14" t="s">
        <v>3619</v>
      </c>
      <c r="D891" s="229"/>
      <c r="F891" s="15"/>
      <c r="G891" s="15"/>
      <c r="H891" s="15"/>
    </row>
    <row r="892" spans="1:8" ht="15" customHeight="1">
      <c r="A892" s="59"/>
      <c r="B892" s="74"/>
      <c r="C892" s="14" t="s">
        <v>3620</v>
      </c>
      <c r="D892" s="229"/>
      <c r="F892" s="15"/>
      <c r="G892" s="15"/>
      <c r="H892" s="15"/>
    </row>
    <row r="893" spans="1:8" ht="15" customHeight="1">
      <c r="A893" s="59"/>
      <c r="B893" s="74"/>
      <c r="C893" s="14" t="s">
        <v>3621</v>
      </c>
      <c r="D893" s="229"/>
      <c r="F893" s="15"/>
      <c r="G893" s="15"/>
      <c r="H893" s="15"/>
    </row>
    <row r="894" spans="1:8" ht="15" customHeight="1">
      <c r="A894" s="59"/>
      <c r="B894" s="74"/>
      <c r="D894" s="190"/>
      <c r="E894" s="14" t="s">
        <v>3622</v>
      </c>
      <c r="F894" s="220" t="str">
        <f>IF(wskakunin_p4_1_TOKUREI_1=1,1,IF(wskakunin_p4_1_TOKUREI_2=1,2,IF(wskakunin_p4_1_TOKUREI_3=1,3,IF(wskakunin_p4_1_TOKUREI_4=1,4,""))))</f>
        <v/>
      </c>
      <c r="G894" s="15"/>
      <c r="H894" s="15"/>
    </row>
    <row r="895" spans="1:8" ht="15" customHeight="1">
      <c r="A895" s="60"/>
      <c r="B895" s="112"/>
      <c r="D895" s="190"/>
      <c r="F895" s="15"/>
      <c r="G895" s="15"/>
      <c r="H895" s="15"/>
    </row>
    <row r="897" spans="1:8" ht="15" customHeight="1">
      <c r="A897" s="56" t="s">
        <v>14</v>
      </c>
      <c r="B897" s="104"/>
      <c r="G897" s="15"/>
      <c r="H897" s="15"/>
    </row>
    <row r="898" spans="1:8" ht="15" customHeight="1">
      <c r="A898" s="44" t="s">
        <v>948</v>
      </c>
      <c r="B898" s="47"/>
      <c r="G898" s="15"/>
      <c r="H898" s="15"/>
    </row>
    <row r="899" spans="1:8" ht="15" customHeight="1">
      <c r="A899" s="81"/>
      <c r="B899" s="75" t="s">
        <v>633</v>
      </c>
      <c r="C899" s="14" t="s">
        <v>949</v>
      </c>
      <c r="D899" s="143"/>
      <c r="E899" s="14" t="s">
        <v>950</v>
      </c>
      <c r="F899" s="143" t="str">
        <f>IF(wskakunin_BUILD__address="", "", wskakunin_BUILD__address)</f>
        <v/>
      </c>
      <c r="G899" s="15"/>
      <c r="H899" s="15"/>
    </row>
    <row r="900" spans="1:8" ht="15" customHeight="1">
      <c r="A900" s="81"/>
      <c r="B900" s="141" t="s">
        <v>1284</v>
      </c>
      <c r="C900" s="14" t="s">
        <v>951</v>
      </c>
      <c r="D900" s="143"/>
      <c r="E900" s="14" t="s">
        <v>952</v>
      </c>
      <c r="F900" s="143" t="str">
        <f>IF(wskakunin_BUILD_KEN__ken="","",wskakunin_BUILD_KEN__ken)</f>
        <v/>
      </c>
      <c r="G900" s="15"/>
      <c r="H900" s="15"/>
    </row>
    <row r="901" spans="1:8" ht="15" customHeight="1">
      <c r="A901" s="81"/>
      <c r="B901" s="141" t="s">
        <v>1285</v>
      </c>
      <c r="C901" s="14" t="s">
        <v>1282</v>
      </c>
      <c r="D901" s="143"/>
      <c r="E901" s="14" t="s">
        <v>1283</v>
      </c>
      <c r="F901" s="143" t="str">
        <f>IF(wskakunin_BUILD_ADDRESS="","",wskakunin_BUILD_ADDRESS)</f>
        <v/>
      </c>
      <c r="G901" s="15"/>
      <c r="H901" s="15"/>
    </row>
    <row r="902" spans="1:8" ht="15" customHeight="1">
      <c r="A902" s="82"/>
      <c r="B902" s="83"/>
      <c r="D902" s="15"/>
      <c r="F902" s="15"/>
      <c r="G902" s="15"/>
      <c r="H902" s="15"/>
    </row>
    <row r="903" spans="1:8" ht="15" customHeight="1">
      <c r="A903" s="44" t="s">
        <v>507</v>
      </c>
      <c r="B903" s="47"/>
      <c r="G903" s="15"/>
      <c r="H903" s="15"/>
    </row>
    <row r="904" spans="1:8" ht="15" customHeight="1">
      <c r="A904" s="81"/>
      <c r="B904" s="75" t="s">
        <v>21</v>
      </c>
      <c r="C904" s="14" t="s">
        <v>1286</v>
      </c>
      <c r="D904" s="42"/>
      <c r="E904" s="14" t="s">
        <v>1288</v>
      </c>
      <c r="F904" s="42" t="str">
        <f>IF(wskakunin_BUILD_JYUKYO__address="","",wskakunin_BUILD_JYUKYO__address)</f>
        <v/>
      </c>
      <c r="G904" s="15"/>
      <c r="H904" s="15"/>
    </row>
    <row r="905" spans="1:8" ht="15" customHeight="1">
      <c r="A905" s="81"/>
      <c r="B905" s="141" t="s">
        <v>1284</v>
      </c>
      <c r="C905" s="14" t="s">
        <v>1287</v>
      </c>
      <c r="D905" s="42"/>
      <c r="E905" s="14" t="s">
        <v>1289</v>
      </c>
      <c r="F905" s="42" t="str">
        <f>IF(wskakunin_BUILD_JYUKYO_KEN__ken="","",wskakunin_BUILD_JYUKYO_KEN__ken)</f>
        <v/>
      </c>
      <c r="G905" s="15"/>
      <c r="H905" s="15"/>
    </row>
    <row r="906" spans="1:8" ht="15" customHeight="1">
      <c r="A906" s="81"/>
      <c r="B906" s="141" t="s">
        <v>1285</v>
      </c>
      <c r="C906" s="14" t="s">
        <v>953</v>
      </c>
      <c r="D906" s="143"/>
      <c r="E906" s="14" t="s">
        <v>954</v>
      </c>
      <c r="F906" s="143" t="str">
        <f>IF(wskakunin_BUILD_JYUKYO_ADDRESS="","",wskakunin_BUILD_JYUKYO_ADDRESS)</f>
        <v/>
      </c>
      <c r="G906" s="15"/>
      <c r="H906" s="15"/>
    </row>
    <row r="907" spans="1:8" ht="15" customHeight="1">
      <c r="A907" s="82"/>
      <c r="B907" s="83"/>
      <c r="D907" s="15"/>
      <c r="F907" s="15"/>
      <c r="G907" s="15"/>
      <c r="H907" s="15"/>
    </row>
    <row r="908" spans="1:8" ht="15" customHeight="1">
      <c r="A908" s="1" t="s">
        <v>955</v>
      </c>
      <c r="B908" s="47"/>
      <c r="G908" s="15"/>
      <c r="H908" s="15"/>
    </row>
    <row r="909" spans="1:8" ht="15" customHeight="1">
      <c r="A909" s="7"/>
      <c r="B909" s="75" t="s">
        <v>358</v>
      </c>
      <c r="C909" s="14" t="s">
        <v>956</v>
      </c>
      <c r="D909" s="143"/>
      <c r="E909" s="14" t="s">
        <v>957</v>
      </c>
      <c r="F909" s="143" t="str">
        <f>IF(wskakunin_KUIKI_TOSI=1,"■","□")</f>
        <v>□</v>
      </c>
      <c r="H909" s="15"/>
    </row>
    <row r="910" spans="1:8" ht="15" customHeight="1">
      <c r="A910" s="7"/>
      <c r="B910" s="75" t="s">
        <v>38</v>
      </c>
      <c r="C910" s="14" t="s">
        <v>958</v>
      </c>
      <c r="D910" s="143"/>
      <c r="E910" s="14" t="s">
        <v>959</v>
      </c>
      <c r="F910" s="143" t="str">
        <f>IF(wskakunin__kuiki="", "", wskakunin__kuiki)</f>
        <v/>
      </c>
      <c r="G910" s="15"/>
      <c r="H910" s="15"/>
    </row>
    <row r="911" spans="1:8" ht="15" customHeight="1">
      <c r="A911" s="7"/>
      <c r="B911" s="75"/>
      <c r="D911" s="15"/>
      <c r="E911" s="14" t="s">
        <v>2647</v>
      </c>
      <c r="F911" s="143" t="str">
        <f>IF(cst_wskakunin__kuiki="都市計画区域内","■","□")</f>
        <v>□</v>
      </c>
      <c r="G911" s="15"/>
      <c r="H911" s="15"/>
    </row>
    <row r="912" spans="1:8" ht="15" customHeight="1">
      <c r="A912" s="7"/>
      <c r="B912" s="75" t="s">
        <v>362</v>
      </c>
      <c r="C912" s="14" t="s">
        <v>960</v>
      </c>
      <c r="D912" s="143"/>
      <c r="E912" s="14" t="s">
        <v>961</v>
      </c>
      <c r="F912" s="143" t="str">
        <f>IF(wskakunin_KUIKI_SIGAIKA=1,"■","□")</f>
        <v>□</v>
      </c>
      <c r="G912" s="15"/>
      <c r="H912" s="15"/>
    </row>
    <row r="913" spans="1:8" ht="15" customHeight="1">
      <c r="A913" s="7"/>
      <c r="B913" s="75" t="s">
        <v>361</v>
      </c>
      <c r="C913" s="14" t="s">
        <v>962</v>
      </c>
      <c r="D913" s="143"/>
      <c r="E913" s="14" t="s">
        <v>963</v>
      </c>
      <c r="F913" s="143" t="str">
        <f>IF(wskakunin__tosi_kuiki="", "", wskakunin__tosi_kuiki)</f>
        <v/>
      </c>
      <c r="G913" s="15"/>
      <c r="H913" s="15"/>
    </row>
    <row r="914" spans="1:8" ht="15" customHeight="1">
      <c r="A914" s="7"/>
      <c r="B914" s="75" t="s">
        <v>363</v>
      </c>
      <c r="C914" s="14" t="s">
        <v>964</v>
      </c>
      <c r="D914" s="143"/>
      <c r="E914" s="14" t="s">
        <v>965</v>
      </c>
      <c r="F914" s="143" t="str">
        <f>IF(wskakunin_KUIKI_TYOSEI=1,"■","□")</f>
        <v>□</v>
      </c>
      <c r="H914" s="15"/>
    </row>
    <row r="915" spans="1:8" ht="15" customHeight="1">
      <c r="A915" s="7"/>
      <c r="B915" s="75" t="s">
        <v>364</v>
      </c>
      <c r="C915" s="14" t="s">
        <v>966</v>
      </c>
      <c r="D915" s="143"/>
      <c r="E915" s="14" t="s">
        <v>967</v>
      </c>
      <c r="F915" s="143" t="str">
        <f>IF(wskakunin_KUIKI_HISETTEI=1,"■","□")</f>
        <v>□</v>
      </c>
      <c r="H915" s="15"/>
    </row>
    <row r="916" spans="1:8" ht="15" customHeight="1">
      <c r="A916" s="7"/>
      <c r="B916" s="75" t="s">
        <v>359</v>
      </c>
      <c r="C916" s="14" t="s">
        <v>968</v>
      </c>
      <c r="D916" s="143"/>
      <c r="E916" s="14" t="s">
        <v>969</v>
      </c>
      <c r="F916" s="143" t="str">
        <f>IF(wskakunin_KUIKI_JYUN_TOSHI=1,"■","□")</f>
        <v>□</v>
      </c>
      <c r="H916" s="15"/>
    </row>
    <row r="917" spans="1:8" ht="15" customHeight="1">
      <c r="A917" s="7"/>
      <c r="B917" s="72" t="s">
        <v>360</v>
      </c>
      <c r="C917" s="14" t="s">
        <v>970</v>
      </c>
      <c r="D917" s="143"/>
      <c r="E917" s="14" t="s">
        <v>971</v>
      </c>
      <c r="F917" s="143" t="str">
        <f>IF(wskakunin_KUIKI_KUIKIGAI=1,"■","□")</f>
        <v>□</v>
      </c>
      <c r="H917" s="15"/>
    </row>
    <row r="918" spans="1:8" ht="15" customHeight="1">
      <c r="A918" s="8"/>
      <c r="B918" s="73"/>
      <c r="D918" s="15"/>
      <c r="F918" s="15"/>
      <c r="H918" s="15"/>
    </row>
    <row r="919" spans="1:8" ht="15" customHeight="1">
      <c r="A919" s="1" t="s">
        <v>508</v>
      </c>
      <c r="B919" s="26"/>
      <c r="C919" s="14" t="s">
        <v>972</v>
      </c>
      <c r="D919" s="143"/>
      <c r="E919" s="14" t="s">
        <v>973</v>
      </c>
      <c r="F919" s="143" t="str">
        <f>IF(wskakunin__bouka="", "", wskakunin__bouka)</f>
        <v/>
      </c>
      <c r="H919" s="15"/>
    </row>
    <row r="920" spans="1:8" ht="15" customHeight="1">
      <c r="A920" s="7"/>
      <c r="B920" s="69" t="s">
        <v>365</v>
      </c>
      <c r="C920" s="14" t="s">
        <v>974</v>
      </c>
      <c r="D920" s="143"/>
      <c r="E920" s="14" t="s">
        <v>975</v>
      </c>
      <c r="F920" s="143" t="str">
        <f>IF(wskakunin_BOUKA_BOUKA=1,"■","□")</f>
        <v>□</v>
      </c>
      <c r="H920" s="15"/>
    </row>
    <row r="921" spans="1:8" ht="15" customHeight="1">
      <c r="A921" s="7"/>
      <c r="B921" s="69" t="s">
        <v>366</v>
      </c>
      <c r="C921" s="14" t="s">
        <v>976</v>
      </c>
      <c r="D921" s="143"/>
      <c r="E921" s="14" t="s">
        <v>977</v>
      </c>
      <c r="F921" s="143" t="str">
        <f>IF(wskakunin_BOUKA_JYUN_BOUKA=1,"■","□")</f>
        <v>□</v>
      </c>
      <c r="H921" s="15"/>
    </row>
    <row r="922" spans="1:8" ht="15" customHeight="1">
      <c r="A922" s="7"/>
      <c r="B922" s="69" t="s">
        <v>125</v>
      </c>
      <c r="C922" s="14" t="s">
        <v>978</v>
      </c>
      <c r="D922" s="143"/>
      <c r="E922" s="14" t="s">
        <v>979</v>
      </c>
      <c r="F922" s="143" t="str">
        <f>IF(wskakunin_BOUKA_NASI=1,"■","□")</f>
        <v>□</v>
      </c>
      <c r="H922" s="15"/>
    </row>
    <row r="923" spans="1:8" ht="15" customHeight="1">
      <c r="A923" s="7"/>
      <c r="B923" s="69" t="s">
        <v>367</v>
      </c>
      <c r="C923" s="14" t="s">
        <v>980</v>
      </c>
      <c r="D923" s="143"/>
      <c r="E923" s="14" t="s">
        <v>981</v>
      </c>
      <c r="F923" s="143" t="str">
        <f>IF(wskakunin_BOUKA_22JYO=1,"■","□")</f>
        <v>□</v>
      </c>
      <c r="H923" s="15"/>
    </row>
    <row r="924" spans="1:8" ht="15" customHeight="1">
      <c r="A924" s="8"/>
      <c r="B924" s="70"/>
      <c r="D924" s="15"/>
      <c r="F924" s="15"/>
      <c r="H924" s="15"/>
    </row>
    <row r="925" spans="1:8" ht="15" customHeight="1">
      <c r="A925" s="1" t="s">
        <v>509</v>
      </c>
      <c r="B925" s="26"/>
      <c r="C925" s="14" t="s">
        <v>982</v>
      </c>
      <c r="D925" s="143"/>
      <c r="E925" s="14" t="s">
        <v>983</v>
      </c>
      <c r="F925" s="143" t="str">
        <f>IF(wskakunin_SONOTA_KUIKI="","",wskakunin_SONOTA_KUIKI)</f>
        <v/>
      </c>
      <c r="H925" s="15"/>
    </row>
    <row r="926" spans="1:8" ht="15" customHeight="1">
      <c r="A926" s="8"/>
      <c r="B926" s="61"/>
      <c r="H926" s="15"/>
    </row>
    <row r="927" spans="1:8" ht="15" customHeight="1">
      <c r="A927" s="25" t="s">
        <v>510</v>
      </c>
      <c r="B927" s="25"/>
      <c r="D927" s="15"/>
      <c r="F927" s="15"/>
      <c r="H927" s="15"/>
    </row>
    <row r="928" spans="1:8" ht="15" customHeight="1">
      <c r="A928" s="25"/>
      <c r="B928" s="69" t="s">
        <v>511</v>
      </c>
      <c r="C928" s="14" t="s">
        <v>984</v>
      </c>
      <c r="D928" s="231"/>
      <c r="E928" s="14" t="s">
        <v>985</v>
      </c>
      <c r="F928" s="231" t="str">
        <f>IF(wskakunin_DOURO_FUKUIN="","",wskakunin_DOURO_FUKUIN)</f>
        <v/>
      </c>
      <c r="H928" s="15"/>
    </row>
    <row r="929" spans="1:8" ht="15" customHeight="1">
      <c r="A929" s="25"/>
      <c r="B929" s="69" t="s">
        <v>512</v>
      </c>
      <c r="C929" s="14" t="s">
        <v>986</v>
      </c>
      <c r="D929" s="231"/>
      <c r="E929" s="14" t="s">
        <v>987</v>
      </c>
      <c r="F929" s="231" t="str">
        <f>IF(wskakunin_DOURO_NAGASA="","",wskakunin_DOURO_NAGASA)</f>
        <v/>
      </c>
      <c r="H929" s="15"/>
    </row>
    <row r="930" spans="1:8" ht="15" customHeight="1">
      <c r="A930" s="25"/>
      <c r="B930" s="70"/>
      <c r="D930" s="15"/>
      <c r="F930" s="15"/>
      <c r="H930" s="15"/>
    </row>
    <row r="931" spans="1:8" ht="15" customHeight="1">
      <c r="A931" s="65" t="s">
        <v>513</v>
      </c>
      <c r="B931" s="66"/>
      <c r="D931" s="15"/>
      <c r="F931" s="15"/>
      <c r="H931" s="15"/>
    </row>
    <row r="932" spans="1:8" ht="15" customHeight="1">
      <c r="A932" s="43" t="s">
        <v>631</v>
      </c>
      <c r="B932" s="67"/>
      <c r="D932" s="15"/>
      <c r="F932" s="15"/>
      <c r="H932" s="15"/>
    </row>
    <row r="933" spans="1:8" ht="15" customHeight="1">
      <c r="A933" s="7"/>
      <c r="B933" s="69" t="s">
        <v>988</v>
      </c>
      <c r="C933" s="14" t="s">
        <v>989</v>
      </c>
      <c r="D933" s="232"/>
      <c r="E933" s="14" t="s">
        <v>990</v>
      </c>
      <c r="F933" s="232" t="str">
        <f>IF(wskakunin_SHIKITI_MENSEKI_1A="","",wskakunin_SHIKITI_MENSEKI_1A)</f>
        <v/>
      </c>
      <c r="H933" s="15"/>
    </row>
    <row r="934" spans="1:8" ht="15" customHeight="1">
      <c r="A934" s="7"/>
      <c r="B934" s="69" t="s">
        <v>991</v>
      </c>
      <c r="C934" s="14" t="s">
        <v>992</v>
      </c>
      <c r="D934" s="232"/>
      <c r="E934" s="14" t="s">
        <v>993</v>
      </c>
      <c r="F934" s="232" t="str">
        <f>IF(wskakunin_SHIKITI_MENSEKI_1B="","",wskakunin_SHIKITI_MENSEKI_1B)</f>
        <v/>
      </c>
      <c r="H934" s="15"/>
    </row>
    <row r="935" spans="1:8" ht="15" customHeight="1">
      <c r="A935" s="7"/>
      <c r="B935" s="69" t="s">
        <v>994</v>
      </c>
      <c r="C935" s="14" t="s">
        <v>995</v>
      </c>
      <c r="D935" s="232"/>
      <c r="E935" s="14" t="s">
        <v>996</v>
      </c>
      <c r="F935" s="232" t="str">
        <f>IF(wskakunin_SHIKITI_MENSEKI_1C="","",wskakunin_SHIKITI_MENSEKI_1C)</f>
        <v/>
      </c>
      <c r="H935" s="15"/>
    </row>
    <row r="936" spans="1:8" ht="15" customHeight="1">
      <c r="A936" s="7"/>
      <c r="B936" s="69" t="s">
        <v>997</v>
      </c>
      <c r="C936" s="14" t="s">
        <v>998</v>
      </c>
      <c r="D936" s="232"/>
      <c r="E936" s="14" t="s">
        <v>999</v>
      </c>
      <c r="F936" s="232" t="str">
        <f>IF(wskakunin_SHIKITI_MENSEKI_1D="","",wskakunin_SHIKITI_MENSEKI_1D)</f>
        <v/>
      </c>
      <c r="H936" s="15"/>
    </row>
    <row r="937" spans="1:8" ht="15" customHeight="1">
      <c r="A937" s="7"/>
      <c r="B937" s="69" t="s">
        <v>1000</v>
      </c>
      <c r="C937" s="14" t="s">
        <v>1001</v>
      </c>
      <c r="D937" s="232"/>
      <c r="E937" s="14" t="s">
        <v>1002</v>
      </c>
      <c r="F937" s="232" t="str">
        <f>IF(wskakunin_SHIKITI_MENSEKI_2A="","",wskakunin_SHIKITI_MENSEKI_2A)</f>
        <v/>
      </c>
      <c r="H937" s="15"/>
    </row>
    <row r="938" spans="1:8" ht="15" customHeight="1">
      <c r="A938" s="7"/>
      <c r="B938" s="69" t="s">
        <v>1003</v>
      </c>
      <c r="C938" s="14" t="s">
        <v>1004</v>
      </c>
      <c r="D938" s="232"/>
      <c r="E938" s="14" t="s">
        <v>1005</v>
      </c>
      <c r="F938" s="232" t="str">
        <f>IF(wskakunin_SHIKITI_MENSEKI_2B="","",wskakunin_SHIKITI_MENSEKI_2B)</f>
        <v/>
      </c>
      <c r="H938" s="15"/>
    </row>
    <row r="939" spans="1:8" ht="15" customHeight="1">
      <c r="A939" s="7"/>
      <c r="B939" s="69" t="s">
        <v>1006</v>
      </c>
      <c r="C939" s="14" t="s">
        <v>1007</v>
      </c>
      <c r="D939" s="232"/>
      <c r="E939" s="14" t="s">
        <v>1008</v>
      </c>
      <c r="F939" s="232" t="str">
        <f>IF(wskakunin_SHIKITI_MENSEKI_2C="","",wskakunin_SHIKITI_MENSEKI_2C)</f>
        <v/>
      </c>
      <c r="H939" s="15"/>
    </row>
    <row r="940" spans="1:8" ht="15" customHeight="1">
      <c r="A940" s="7"/>
      <c r="B940" s="41" t="s">
        <v>1009</v>
      </c>
      <c r="C940" s="14" t="s">
        <v>1010</v>
      </c>
      <c r="D940" s="232"/>
      <c r="E940" s="14" t="s">
        <v>1011</v>
      </c>
      <c r="F940" s="232" t="str">
        <f>IF(wskakunin_SHIKITI_MENSEKI_2D="","",wskakunin_SHIKITI_MENSEKI_2D)</f>
        <v/>
      </c>
      <c r="H940" s="15"/>
    </row>
    <row r="941" spans="1:8" ht="15" customHeight="1">
      <c r="A941" s="43" t="s">
        <v>126</v>
      </c>
      <c r="B941" s="67"/>
      <c r="D941" s="15"/>
      <c r="F941" s="15"/>
      <c r="H941" s="15"/>
    </row>
    <row r="942" spans="1:8" ht="15" customHeight="1">
      <c r="A942" s="7"/>
      <c r="B942" s="69" t="s">
        <v>1012</v>
      </c>
      <c r="C942" s="14" t="s">
        <v>1013</v>
      </c>
      <c r="D942" s="143"/>
      <c r="E942" s="14" t="s">
        <v>1014</v>
      </c>
      <c r="F942" s="143" t="str">
        <f>IF(wskakunin_YOUTO_TIIKI_A="", "", wskakunin_YOUTO_TIIKI_A)</f>
        <v/>
      </c>
      <c r="H942" s="15"/>
    </row>
    <row r="943" spans="1:8" ht="15" customHeight="1">
      <c r="A943" s="7"/>
      <c r="B943" s="69" t="s">
        <v>1015</v>
      </c>
      <c r="C943" s="14" t="s">
        <v>1016</v>
      </c>
      <c r="D943" s="143"/>
      <c r="E943" s="14" t="s">
        <v>1017</v>
      </c>
      <c r="F943" s="143" t="str">
        <f>IF(wskakunin_YOUTO_TIIKI_B="","",wskakunin_YOUTO_TIIKI_B)</f>
        <v/>
      </c>
      <c r="H943" s="15"/>
    </row>
    <row r="944" spans="1:8" ht="15" customHeight="1">
      <c r="A944" s="7"/>
      <c r="B944" s="69" t="s">
        <v>1018</v>
      </c>
      <c r="C944" s="14" t="s">
        <v>1019</v>
      </c>
      <c r="D944" s="143"/>
      <c r="E944" s="14" t="s">
        <v>1020</v>
      </c>
      <c r="F944" s="143" t="str">
        <f>IF(wskakunin_YOUTO_TIIKI_C="","",wskakunin_YOUTO_TIIKI_C)</f>
        <v/>
      </c>
      <c r="H944" s="15"/>
    </row>
    <row r="945" spans="1:8" ht="15" customHeight="1">
      <c r="A945" s="68"/>
      <c r="B945" s="69" t="s">
        <v>1021</v>
      </c>
      <c r="C945" s="14" t="s">
        <v>1022</v>
      </c>
      <c r="D945" s="143"/>
      <c r="E945" s="14" t="s">
        <v>1023</v>
      </c>
      <c r="F945" s="143" t="str">
        <f>IF(wskakunin_YOUTO_TIIKI_D="","",wskakunin_YOUTO_TIIKI_D)</f>
        <v/>
      </c>
      <c r="G945" s="14" t="s">
        <v>529</v>
      </c>
      <c r="H945" s="15"/>
    </row>
    <row r="946" spans="1:8" ht="15" customHeight="1">
      <c r="A946" s="43" t="s">
        <v>107</v>
      </c>
      <c r="B946" s="67"/>
      <c r="D946" s="15"/>
      <c r="F946" s="15"/>
      <c r="H946" s="15"/>
    </row>
    <row r="947" spans="1:8" ht="15" customHeight="1">
      <c r="A947" s="7"/>
      <c r="B947" s="69" t="s">
        <v>1012</v>
      </c>
      <c r="C947" s="14" t="s">
        <v>1024</v>
      </c>
      <c r="D947" s="232"/>
      <c r="E947" s="105" t="s">
        <v>1025</v>
      </c>
      <c r="F947" s="232" t="str">
        <f>IF(wskakunin_YOUSEKI_RITU_A="","",wskakunin_YOUSEKI_RITU_A)</f>
        <v/>
      </c>
      <c r="H947" s="15"/>
    </row>
    <row r="948" spans="1:8" ht="15" customHeight="1">
      <c r="A948" s="7"/>
      <c r="B948" s="69" t="s">
        <v>1015</v>
      </c>
      <c r="C948" s="14" t="s">
        <v>1026</v>
      </c>
      <c r="D948" s="232"/>
      <c r="E948" s="105" t="s">
        <v>1027</v>
      </c>
      <c r="F948" s="232" t="str">
        <f>IF(wskakunin_YOUSEKI_RITU_B="","",wskakunin_YOUSEKI_RITU_B)</f>
        <v/>
      </c>
      <c r="H948" s="15"/>
    </row>
    <row r="949" spans="1:8" ht="15" customHeight="1">
      <c r="A949" s="7"/>
      <c r="B949" s="69" t="s">
        <v>1018</v>
      </c>
      <c r="C949" s="14" t="s">
        <v>1028</v>
      </c>
      <c r="D949" s="232"/>
      <c r="E949" s="105" t="s">
        <v>1029</v>
      </c>
      <c r="F949" s="232" t="str">
        <f>IF(wskakunin_YOUSEKI_RITU_C="","",wskakunin_YOUSEKI_RITU_C)</f>
        <v/>
      </c>
      <c r="H949" s="15"/>
    </row>
    <row r="950" spans="1:8" ht="15" customHeight="1">
      <c r="A950" s="68"/>
      <c r="B950" s="69" t="s">
        <v>1021</v>
      </c>
      <c r="C950" s="14" t="s">
        <v>1030</v>
      </c>
      <c r="D950" s="232"/>
      <c r="E950" s="105" t="s">
        <v>1031</v>
      </c>
      <c r="F950" s="232" t="str">
        <f>IF(wskakunin_YOUSEKI_RITU_D="","",wskakunin_YOUSEKI_RITU_D)</f>
        <v/>
      </c>
      <c r="H950" s="15"/>
    </row>
    <row r="951" spans="1:8" ht="15" customHeight="1">
      <c r="A951" s="43" t="s">
        <v>514</v>
      </c>
      <c r="B951" s="67"/>
      <c r="D951" s="106"/>
      <c r="E951" s="105"/>
      <c r="F951" s="106"/>
      <c r="H951" s="15"/>
    </row>
    <row r="952" spans="1:8" ht="15" customHeight="1">
      <c r="A952" s="7"/>
      <c r="B952" s="69" t="s">
        <v>1012</v>
      </c>
      <c r="C952" s="14" t="s">
        <v>1032</v>
      </c>
      <c r="D952" s="232"/>
      <c r="E952" s="105" t="s">
        <v>1033</v>
      </c>
      <c r="F952" s="232" t="str">
        <f>IF(wskakunin_KENPEI_RITU_A="","",wskakunin_KENPEI_RITU_A)</f>
        <v/>
      </c>
      <c r="H952" s="15"/>
    </row>
    <row r="953" spans="1:8" ht="15" customHeight="1">
      <c r="A953" s="7"/>
      <c r="B953" s="69" t="s">
        <v>1015</v>
      </c>
      <c r="C953" s="14" t="s">
        <v>1034</v>
      </c>
      <c r="D953" s="232"/>
      <c r="E953" s="105" t="s">
        <v>1035</v>
      </c>
      <c r="F953" s="232" t="str">
        <f>IF(wskakunin_KENPEI_RITU_B="","",wskakunin_KENPEI_RITU_B)</f>
        <v/>
      </c>
    </row>
    <row r="954" spans="1:8" ht="15" customHeight="1">
      <c r="A954" s="7"/>
      <c r="B954" s="69" t="s">
        <v>1018</v>
      </c>
      <c r="C954" s="14" t="s">
        <v>1036</v>
      </c>
      <c r="D954" s="232"/>
      <c r="E954" s="105" t="s">
        <v>1037</v>
      </c>
      <c r="F954" s="232" t="str">
        <f>IF(wskakunin_KENPEI_RITU_C="","",wskakunin_KENPEI_RITU_C)</f>
        <v/>
      </c>
    </row>
    <row r="955" spans="1:8" ht="15" customHeight="1">
      <c r="A955" s="68"/>
      <c r="B955" s="69" t="s">
        <v>1021</v>
      </c>
      <c r="C955" s="14" t="s">
        <v>1038</v>
      </c>
      <c r="D955" s="232"/>
      <c r="E955" s="105" t="s">
        <v>1039</v>
      </c>
      <c r="F955" s="232" t="str">
        <f>IF(wskakunin_KENPEI_RITU_D="","",wskakunin_KENPEI_RITU_D)</f>
        <v/>
      </c>
    </row>
    <row r="956" spans="1:8" ht="15" customHeight="1">
      <c r="A956" s="7" t="s">
        <v>632</v>
      </c>
      <c r="B956" s="27"/>
      <c r="D956" s="106"/>
      <c r="E956" s="105"/>
      <c r="F956" s="106"/>
    </row>
    <row r="957" spans="1:8" ht="15" customHeight="1">
      <c r="A957" s="7"/>
      <c r="B957" s="69" t="s">
        <v>1040</v>
      </c>
      <c r="C957" s="14" t="s">
        <v>1041</v>
      </c>
      <c r="D957" s="232"/>
      <c r="E957" s="14" t="s">
        <v>1042</v>
      </c>
      <c r="F957" s="143" t="str">
        <f>IF(wskakunin_SHIKITI_MENSEKI_1_TOTAL="", "", wskakunin_SHIKITI_MENSEKI_1_TOTAL)</f>
        <v/>
      </c>
    </row>
    <row r="958" spans="1:8" ht="15" customHeight="1">
      <c r="A958" s="7"/>
      <c r="B958" s="69" t="s">
        <v>1043</v>
      </c>
      <c r="C958" s="14" t="s">
        <v>1044</v>
      </c>
      <c r="D958" s="232"/>
      <c r="E958" s="105" t="s">
        <v>1045</v>
      </c>
      <c r="F958" s="232" t="str">
        <f>IF(wskakunin_SHIKITI_MENSEKI_2_TOTAL="","",wskakunin_SHIKITI_MENSEKI_2_TOTAL)</f>
        <v/>
      </c>
    </row>
    <row r="959" spans="1:8" ht="15" customHeight="1">
      <c r="A959" s="7"/>
      <c r="B959" s="80" t="s">
        <v>1046</v>
      </c>
      <c r="C959" s="14" t="s">
        <v>1047</v>
      </c>
      <c r="D959" s="232"/>
      <c r="E959" s="105" t="s">
        <v>1048</v>
      </c>
      <c r="F959" s="232" t="str">
        <f>IF(wskakunin_LIMIT_YOUSEKI_RITU="","",wskakunin_LIMIT_YOUSEKI_RITU)</f>
        <v/>
      </c>
    </row>
    <row r="960" spans="1:8" ht="15" customHeight="1">
      <c r="A960" s="7"/>
      <c r="B960" s="80" t="s">
        <v>1049</v>
      </c>
      <c r="C960" s="14" t="s">
        <v>1050</v>
      </c>
      <c r="D960" s="232"/>
      <c r="E960" s="105" t="s">
        <v>1051</v>
      </c>
      <c r="F960" s="232" t="str">
        <f>IF(wskakunin_LIMIT_KENPEI_RITU="","",wskakunin_LIMIT_KENPEI_RITU)</f>
        <v/>
      </c>
    </row>
    <row r="961" spans="1:7" ht="15" customHeight="1">
      <c r="A961" s="8"/>
      <c r="B961" s="70" t="s">
        <v>394</v>
      </c>
      <c r="C961" s="14" t="s">
        <v>1052</v>
      </c>
      <c r="D961" s="143"/>
      <c r="E961" s="14" t="s">
        <v>1053</v>
      </c>
      <c r="F961" s="143" t="str">
        <f>IF(wskakunin_SHIKITI_MENSEKI_BIKOU="","",wskakunin_SHIKITI_MENSEKI_BIKOU)</f>
        <v/>
      </c>
    </row>
    <row r="962" spans="1:7" ht="15" customHeight="1">
      <c r="A962" s="44" t="s">
        <v>515</v>
      </c>
      <c r="B962" s="45"/>
      <c r="D962" s="15"/>
      <c r="F962" s="15"/>
    </row>
    <row r="963" spans="1:7" ht="15" customHeight="1">
      <c r="A963" s="81"/>
      <c r="B963" s="75" t="s">
        <v>1054</v>
      </c>
      <c r="C963" s="14" t="s">
        <v>1055</v>
      </c>
      <c r="D963" s="214"/>
      <c r="E963" s="14" t="s">
        <v>1056</v>
      </c>
      <c r="F963" s="214" t="str">
        <f>IF(wskakunin_YOUTO_CODE="","",wskakunin_YOUTO_CODE)</f>
        <v/>
      </c>
    </row>
    <row r="964" spans="1:7" ht="15" customHeight="1">
      <c r="A964" s="81"/>
      <c r="B964" s="75" t="s">
        <v>26</v>
      </c>
      <c r="C964" s="14" t="s">
        <v>1057</v>
      </c>
      <c r="D964" s="143"/>
      <c r="E964" s="14" t="s">
        <v>1058</v>
      </c>
      <c r="F964" s="143" t="str">
        <f>IF(wskakunin_YOUTO="", "", wskakunin_YOUTO)</f>
        <v/>
      </c>
    </row>
    <row r="965" spans="1:7" ht="15" customHeight="1">
      <c r="A965" s="82"/>
      <c r="B965" s="83" t="s">
        <v>2616</v>
      </c>
      <c r="C965" s="14" t="s">
        <v>2617</v>
      </c>
      <c r="D965" s="143"/>
      <c r="E965" s="14" t="s">
        <v>2618</v>
      </c>
      <c r="F965" s="143" t="str">
        <f>IF(shinsei_UNIT_COUNT="","",shinsei_UNIT_COUNT)</f>
        <v/>
      </c>
    </row>
    <row r="966" spans="1:7" ht="15" customHeight="1">
      <c r="A966" s="1" t="s">
        <v>516</v>
      </c>
      <c r="B966" s="66"/>
      <c r="D966" s="15"/>
      <c r="F966" s="15"/>
    </row>
    <row r="967" spans="1:7" ht="15" customHeight="1">
      <c r="A967" s="68"/>
      <c r="B967" s="69" t="s">
        <v>2254</v>
      </c>
      <c r="C967" s="14" t="s">
        <v>1059</v>
      </c>
      <c r="D967" s="143"/>
      <c r="E967" s="14" t="s">
        <v>1060</v>
      </c>
      <c r="F967" s="143" t="str">
        <f>IF(wskakunin__kouji="", "", wskakunin__kouji)</f>
        <v/>
      </c>
    </row>
    <row r="968" spans="1:7" ht="15" customHeight="1">
      <c r="A968" s="7"/>
      <c r="B968" s="69" t="s">
        <v>47</v>
      </c>
      <c r="C968" s="14" t="s">
        <v>1061</v>
      </c>
      <c r="D968" s="143"/>
      <c r="E968" s="14" t="s">
        <v>2262</v>
      </c>
      <c r="F968" s="143" t="str">
        <f>IF(wskakunin_KOUJI_SINTIKU=1,"■","□")</f>
        <v>□</v>
      </c>
    </row>
    <row r="969" spans="1:7" ht="15" customHeight="1">
      <c r="A969" s="7"/>
      <c r="B969" s="69" t="s">
        <v>368</v>
      </c>
      <c r="C969" s="14" t="s">
        <v>1062</v>
      </c>
      <c r="D969" s="143"/>
      <c r="E969" s="14" t="s">
        <v>2263</v>
      </c>
      <c r="F969" s="143" t="str">
        <f>IF(wskakunin_KOUJI_ZOUTIKU=1,"■","□")</f>
        <v>□</v>
      </c>
    </row>
    <row r="970" spans="1:7" ht="15" customHeight="1">
      <c r="A970" s="7"/>
      <c r="B970" s="69" t="s">
        <v>369</v>
      </c>
      <c r="C970" s="14" t="s">
        <v>1063</v>
      </c>
      <c r="D970" s="143"/>
      <c r="E970" s="14" t="s">
        <v>2264</v>
      </c>
      <c r="F970" s="143" t="str">
        <f>IF(wskakunin_KOUJI_KAITIKU=1,"■","□")</f>
        <v>□</v>
      </c>
    </row>
    <row r="971" spans="1:7" ht="15" customHeight="1">
      <c r="A971" s="7"/>
      <c r="B971" s="69" t="s">
        <v>370</v>
      </c>
      <c r="C971" s="14" t="s">
        <v>1064</v>
      </c>
      <c r="D971" s="143"/>
      <c r="E971" s="14" t="s">
        <v>2265</v>
      </c>
      <c r="F971" s="143" t="str">
        <f>IF(wskakunin_KOUJI_ITEN=1,"■","□")</f>
        <v>□</v>
      </c>
    </row>
    <row r="972" spans="1:7" ht="15" customHeight="1">
      <c r="A972" s="7"/>
      <c r="B972" s="69" t="s">
        <v>517</v>
      </c>
      <c r="C972" s="14" t="s">
        <v>1065</v>
      </c>
      <c r="D972" s="143"/>
      <c r="E972" s="14" t="s">
        <v>2266</v>
      </c>
      <c r="F972" s="143" t="str">
        <f>IF(wskakunin_KOUJI_YOUTOHENKOU=1,"■","□")</f>
        <v>□</v>
      </c>
      <c r="G972" s="14" t="s">
        <v>2256</v>
      </c>
    </row>
    <row r="973" spans="1:7" ht="15" customHeight="1">
      <c r="A973" s="7"/>
      <c r="B973" s="69" t="s">
        <v>1066</v>
      </c>
      <c r="C973" s="14" t="s">
        <v>1067</v>
      </c>
      <c r="D973" s="143"/>
      <c r="E973" s="14" t="s">
        <v>2267</v>
      </c>
      <c r="F973" s="143" t="str">
        <f>IF(wskakunin_KOUJI_DAI_SYUUZEN=1,"■","□")</f>
        <v>□</v>
      </c>
    </row>
    <row r="974" spans="1:7" ht="15" customHeight="1">
      <c r="A974" s="7"/>
      <c r="B974" s="69" t="s">
        <v>1068</v>
      </c>
      <c r="C974" s="14" t="s">
        <v>1069</v>
      </c>
      <c r="D974" s="143"/>
      <c r="E974" s="14" t="s">
        <v>2268</v>
      </c>
      <c r="F974" s="143" t="str">
        <f>IF(wskakunin_KOUJI_DAI_MOYOUGAE=1,"■","□")</f>
        <v>□</v>
      </c>
    </row>
    <row r="975" spans="1:7" ht="15" customHeight="1">
      <c r="A975" s="7"/>
      <c r="B975" s="69" t="s">
        <v>1070</v>
      </c>
      <c r="C975" s="14" t="s">
        <v>1071</v>
      </c>
      <c r="D975" s="143"/>
      <c r="E975" s="14" t="s">
        <v>2657</v>
      </c>
      <c r="F975" s="143" t="str">
        <f>IF(wskakuninKOUJI_SETUBI=1,"■","□")</f>
        <v>□</v>
      </c>
      <c r="G975" s="14" t="s">
        <v>2255</v>
      </c>
    </row>
    <row r="976" spans="1:7" ht="15" customHeight="1">
      <c r="A976" s="68"/>
      <c r="B976" s="69"/>
    </row>
    <row r="977" spans="1:6" ht="15" customHeight="1">
      <c r="A977" s="7" t="s">
        <v>2435</v>
      </c>
      <c r="B977" s="27"/>
      <c r="E977" s="144"/>
      <c r="F977" s="144"/>
    </row>
    <row r="978" spans="1:6" ht="15" customHeight="1">
      <c r="A978" s="7"/>
      <c r="B978" s="41" t="s">
        <v>2434</v>
      </c>
      <c r="C978" s="14" t="s">
        <v>2436</v>
      </c>
      <c r="D978" s="143"/>
      <c r="E978" s="14" t="s">
        <v>2440</v>
      </c>
      <c r="F978" s="143" t="str">
        <f>IF(wskakunin_gaiyou1_WORK_SYURUI_CODE="","",wskakunin_gaiyou1_WORK_SYURUI_CODE)</f>
        <v/>
      </c>
    </row>
    <row r="979" spans="1:6" ht="15" customHeight="1">
      <c r="A979" s="7"/>
      <c r="B979" s="41" t="s">
        <v>2444</v>
      </c>
      <c r="C979" s="14" t="s">
        <v>2437</v>
      </c>
      <c r="D979" s="143"/>
      <c r="E979" s="14" t="s">
        <v>2441</v>
      </c>
      <c r="F979" s="143" t="str">
        <f>IF(wskakunin_gaiyou1_WORK_SYURUI="","",wskakunin_gaiyou1_WORK_SYURUI)</f>
        <v/>
      </c>
    </row>
    <row r="980" spans="1:6" ht="15" customHeight="1">
      <c r="A980" s="7"/>
      <c r="B980" s="41" t="s">
        <v>2445</v>
      </c>
      <c r="C980" s="14" t="s">
        <v>2438</v>
      </c>
      <c r="D980" s="143"/>
      <c r="E980" s="14" t="s">
        <v>2442</v>
      </c>
      <c r="F980" s="143" t="str">
        <f>IF(wskakunin_gaiyou1_TAKASA="","",wskakunin_gaiyou1_TAKASA)</f>
        <v/>
      </c>
    </row>
    <row r="981" spans="1:6" ht="15" customHeight="1">
      <c r="A981" s="7"/>
      <c r="B981" s="41" t="s">
        <v>42</v>
      </c>
      <c r="C981" s="14" t="s">
        <v>2439</v>
      </c>
      <c r="D981" s="143"/>
      <c r="E981" s="14" t="s">
        <v>2443</v>
      </c>
      <c r="F981" s="143" t="str">
        <f>IF(wskakunin_gaiyou1_KOUZOU="","",wskakunin_gaiyou1_KOUZOU)</f>
        <v/>
      </c>
    </row>
    <row r="982" spans="1:6" ht="15" customHeight="1">
      <c r="A982" s="7"/>
      <c r="B982" s="72" t="s">
        <v>2582</v>
      </c>
      <c r="C982" s="14" t="s">
        <v>2583</v>
      </c>
      <c r="D982" s="42"/>
      <c r="E982" s="14" t="s">
        <v>2584</v>
      </c>
      <c r="F982" s="42" t="str">
        <f>IF(wskakunin_gaiyou1_KOUJI_SINTIKU=1,"■","□")</f>
        <v>□</v>
      </c>
    </row>
    <row r="983" spans="1:6" ht="15" customHeight="1">
      <c r="A983" s="7"/>
      <c r="B983" s="72" t="s">
        <v>2585</v>
      </c>
      <c r="C983" s="14" t="s">
        <v>2586</v>
      </c>
      <c r="D983" s="42"/>
      <c r="E983" s="14" t="s">
        <v>2587</v>
      </c>
      <c r="F983" s="42" t="str">
        <f>IF(wskakunin_gaiyou1_KOUJI_ZOUTIKU=1,"■","□")</f>
        <v>□</v>
      </c>
    </row>
    <row r="984" spans="1:6" ht="15" customHeight="1">
      <c r="A984" s="7"/>
      <c r="B984" s="72" t="s">
        <v>2588</v>
      </c>
      <c r="C984" s="14" t="s">
        <v>2589</v>
      </c>
      <c r="D984" s="42"/>
      <c r="E984" s="14" t="s">
        <v>2590</v>
      </c>
      <c r="F984" s="42" t="str">
        <f>IF(wskakunin_gaiyou1_KOUJI_KAITIKU=1,"■","□")</f>
        <v>□</v>
      </c>
    </row>
    <row r="985" spans="1:6" ht="15" customHeight="1">
      <c r="A985" s="7"/>
      <c r="B985" s="72" t="s">
        <v>2591</v>
      </c>
      <c r="C985" s="14" t="s">
        <v>2592</v>
      </c>
      <c r="D985" s="42"/>
      <c r="E985" s="14" t="s">
        <v>2593</v>
      </c>
      <c r="F985" s="42" t="str">
        <f>IF(wskakunin_gaiyou1_KOUJI_SONOTA=1,"■","□")</f>
        <v>□</v>
      </c>
    </row>
    <row r="986" spans="1:6" ht="15" customHeight="1">
      <c r="A986" s="7"/>
      <c r="B986" s="72" t="s">
        <v>2594</v>
      </c>
      <c r="C986" s="14" t="s">
        <v>2595</v>
      </c>
      <c r="D986" s="42"/>
      <c r="E986" s="14" t="s">
        <v>2596</v>
      </c>
      <c r="F986" s="42" t="str">
        <f>IF(wskakunin_gaiyou1_KOUJI_SONOTA_TEXT="","",wskakunin_gaiyou1_KOUJI_SONOTA_TEXT)</f>
        <v/>
      </c>
    </row>
    <row r="987" spans="1:6" ht="15" customHeight="1">
      <c r="A987" s="7"/>
      <c r="B987" s="41"/>
      <c r="D987" s="15"/>
      <c r="F987" s="15"/>
    </row>
    <row r="988" spans="1:6" ht="15" customHeight="1">
      <c r="A988" s="7"/>
      <c r="B988" s="41" t="s">
        <v>2474</v>
      </c>
      <c r="C988" s="14" t="s">
        <v>2480</v>
      </c>
      <c r="D988" s="143"/>
      <c r="E988" s="14" t="s">
        <v>2486</v>
      </c>
      <c r="F988" s="143" t="str">
        <f>IF(wskakunin_gaiyou1_TIKUZOU_MENSEKI_SHINSEI="","",wskakunin_gaiyou1_TIKUZOU_MENSEKI_SHINSEI)</f>
        <v/>
      </c>
    </row>
    <row r="989" spans="1:6" ht="15" customHeight="1">
      <c r="A989" s="7"/>
      <c r="B989" s="41" t="s">
        <v>2475</v>
      </c>
      <c r="C989" s="14" t="s">
        <v>2481</v>
      </c>
      <c r="D989" s="143"/>
      <c r="E989" s="14" t="s">
        <v>2487</v>
      </c>
      <c r="F989" s="143" t="str">
        <f>IF(wskakunin_gaiyou1_TIKUZOU_MENSEKI_IGAI="","",wskakunin_gaiyou1_TIKUZOU_MENSEKI_IGAI)</f>
        <v/>
      </c>
    </row>
    <row r="990" spans="1:6" ht="15" customHeight="1">
      <c r="A990" s="7"/>
      <c r="B990" s="41" t="s">
        <v>2476</v>
      </c>
      <c r="C990" s="14" t="s">
        <v>2482</v>
      </c>
      <c r="D990" s="143"/>
      <c r="E990" s="14" t="s">
        <v>2488</v>
      </c>
      <c r="F990" s="143" t="str">
        <f>IF(wskakunin_gaiyou1_TIKUZOU_MENSEKI_TOTAL="","",wskakunin_gaiyou1_TIKUZOU_MENSEKI_TOTAL)</f>
        <v/>
      </c>
    </row>
    <row r="991" spans="1:6" ht="15" customHeight="1">
      <c r="A991" s="7"/>
      <c r="B991" s="41" t="s">
        <v>2477</v>
      </c>
      <c r="C991" s="14" t="s">
        <v>2483</v>
      </c>
      <c r="D991" s="143"/>
      <c r="E991" s="14" t="s">
        <v>2489</v>
      </c>
      <c r="F991" s="143" t="str">
        <f>IF(wskakunin_gaiyou1_WORK_COUNT_SHINSEI="","",wskakunin_gaiyou1_WORK_COUNT_SHINSEI)</f>
        <v/>
      </c>
    </row>
    <row r="992" spans="1:6" ht="15" customHeight="1">
      <c r="A992" s="7"/>
      <c r="B992" s="41" t="s">
        <v>2478</v>
      </c>
      <c r="C992" s="14" t="s">
        <v>2484</v>
      </c>
      <c r="D992" s="143"/>
      <c r="E992" s="14" t="s">
        <v>2490</v>
      </c>
      <c r="F992" s="143" t="str">
        <f>IF(wskakunin_gaiyou1_WORK_COUNT_IGAI="","",wskakunin_gaiyou1_WORK_COUNT_IGAI)</f>
        <v/>
      </c>
    </row>
    <row r="993" spans="1:6" ht="15" customHeight="1">
      <c r="A993" s="7"/>
      <c r="B993" s="41" t="s">
        <v>2479</v>
      </c>
      <c r="C993" s="14" t="s">
        <v>2485</v>
      </c>
      <c r="D993" s="143"/>
      <c r="E993" s="14" t="s">
        <v>2491</v>
      </c>
      <c r="F993" s="143" t="str">
        <f>IF(wskakunin_gaiyou1_WORK_COUNT_TOTAL="","",wskakunin_gaiyou1_WORK_COUNT_TOTAL)</f>
        <v/>
      </c>
    </row>
    <row r="994" spans="1:6" ht="15" customHeight="1">
      <c r="A994" s="8"/>
      <c r="B994" s="70"/>
      <c r="D994" s="15"/>
    </row>
    <row r="995" spans="1:6" ht="15" customHeight="1">
      <c r="A995" s="7" t="s">
        <v>2446</v>
      </c>
      <c r="B995" s="27"/>
      <c r="D995" s="15"/>
    </row>
    <row r="996" spans="1:6" ht="15" customHeight="1">
      <c r="A996" s="7"/>
      <c r="B996" s="41" t="s">
        <v>2447</v>
      </c>
      <c r="C996" s="14" t="s">
        <v>2456</v>
      </c>
      <c r="D996" s="143"/>
      <c r="E996" s="14" t="s">
        <v>2465</v>
      </c>
      <c r="F996" s="143" t="str">
        <f>IF(wskakunin_gaiyou1_NO="","",wskakunin_gaiyou1_NO)</f>
        <v/>
      </c>
    </row>
    <row r="997" spans="1:6" ht="15" customHeight="1">
      <c r="A997" s="7"/>
      <c r="B997" s="41" t="s">
        <v>2448</v>
      </c>
      <c r="C997" s="14" t="s">
        <v>2457</v>
      </c>
      <c r="D997" s="143"/>
      <c r="E997" s="14" t="s">
        <v>2466</v>
      </c>
      <c r="F997" s="143" t="str">
        <f>IF(wskakunin_gaiyou1_EV_KIND="","",wskakunin_gaiyou1_EV_KIND)</f>
        <v/>
      </c>
    </row>
    <row r="998" spans="1:6" ht="15" customHeight="1">
      <c r="A998" s="7"/>
      <c r="B998" s="41" t="s">
        <v>2449</v>
      </c>
      <c r="C998" s="14" t="s">
        <v>2458</v>
      </c>
      <c r="D998" s="143"/>
      <c r="E998" s="14" t="s">
        <v>2467</v>
      </c>
      <c r="F998" s="143" t="str">
        <f>IF(wskakunin_gaiyou1_YOUTO="","",wskakunin_gaiyou1_YOUTO)</f>
        <v/>
      </c>
    </row>
    <row r="999" spans="1:6" ht="15" customHeight="1">
      <c r="A999" s="7"/>
      <c r="B999" s="41" t="s">
        <v>2450</v>
      </c>
      <c r="C999" s="14" t="s">
        <v>2459</v>
      </c>
      <c r="D999" s="143"/>
      <c r="E999" s="14" t="s">
        <v>2468</v>
      </c>
      <c r="F999" s="143" t="str">
        <f>IF(wskakunin_gaiyou1_SEKISAI="","",wskakunin_gaiyou1_SEKISAI)</f>
        <v/>
      </c>
    </row>
    <row r="1000" spans="1:6" ht="15" customHeight="1">
      <c r="A1000" s="7"/>
      <c r="B1000" s="41" t="s">
        <v>2451</v>
      </c>
      <c r="C1000" s="14" t="s">
        <v>2460</v>
      </c>
      <c r="D1000" s="143"/>
      <c r="E1000" s="14" t="s">
        <v>2469</v>
      </c>
      <c r="F1000" s="143" t="str">
        <f>IF(wskakunin_gaiyou1_TEIIN="","",wskakunin_gaiyou1_TEIIN)</f>
        <v/>
      </c>
    </row>
    <row r="1001" spans="1:6" ht="15" customHeight="1">
      <c r="A1001" s="7"/>
      <c r="B1001" s="41" t="s">
        <v>2452</v>
      </c>
      <c r="C1001" s="14" t="s">
        <v>2461</v>
      </c>
      <c r="D1001" s="143"/>
      <c r="E1001" s="14" t="s">
        <v>2470</v>
      </c>
      <c r="F1001" s="143" t="str">
        <f>IF(wskakunin_gaiyou1_SPEED="","",wskakunin_gaiyou1_SPEED)</f>
        <v/>
      </c>
    </row>
    <row r="1002" spans="1:6" ht="15" customHeight="1">
      <c r="A1002" s="7"/>
      <c r="B1002" s="41" t="s">
        <v>2453</v>
      </c>
      <c r="C1002" s="14" t="s">
        <v>2462</v>
      </c>
      <c r="D1002" s="143"/>
      <c r="E1002" s="14" t="s">
        <v>2471</v>
      </c>
      <c r="F1002" s="143" t="str">
        <f>IF(wskakunin_gaiyou1_SONOTA="","",wskakunin_gaiyou1_SONOTA)</f>
        <v/>
      </c>
    </row>
    <row r="1003" spans="1:6" ht="15" customHeight="1">
      <c r="A1003" s="7"/>
      <c r="B1003" s="41" t="s">
        <v>2454</v>
      </c>
      <c r="C1003" s="14" t="s">
        <v>2463</v>
      </c>
      <c r="D1003" s="143"/>
      <c r="E1003" s="14" t="s">
        <v>2472</v>
      </c>
      <c r="F1003" s="143" t="str">
        <f>IF(wskakunin_gaiyou1_NINSYOU_NO="","",wskakunin_gaiyou1_NINSYOU_NO)</f>
        <v/>
      </c>
    </row>
    <row r="1004" spans="1:6" ht="15" customHeight="1">
      <c r="A1004" s="7"/>
      <c r="B1004" s="41" t="s">
        <v>2455</v>
      </c>
      <c r="C1004" s="14" t="s">
        <v>2464</v>
      </c>
      <c r="D1004" s="143"/>
      <c r="E1004" s="14" t="s">
        <v>2473</v>
      </c>
      <c r="F1004" s="143" t="str">
        <f>IF(wskakunin_gaiyou1_SONOTA_and_NINSYOU_NO="","",wskakunin_gaiyou1_SONOTA_and_NINSYOU_NO)</f>
        <v/>
      </c>
    </row>
    <row r="1005" spans="1:6" ht="15" customHeight="1">
      <c r="A1005" s="7"/>
      <c r="B1005" s="70"/>
      <c r="D1005" s="15"/>
    </row>
    <row r="1006" spans="1:6" ht="15" customHeight="1">
      <c r="A1006" s="1" t="s">
        <v>518</v>
      </c>
      <c r="B1006" s="26"/>
      <c r="D1006" s="15"/>
      <c r="F1006" s="15"/>
    </row>
    <row r="1007" spans="1:6" ht="15" customHeight="1">
      <c r="A1007" s="1228" t="s">
        <v>1290</v>
      </c>
      <c r="B1007" s="69" t="s">
        <v>1072</v>
      </c>
      <c r="C1007" s="14" t="s">
        <v>3883</v>
      </c>
      <c r="D1007" s="233"/>
      <c r="E1007" s="14" t="s">
        <v>3884</v>
      </c>
      <c r="F1007" s="233" t="str">
        <f>IF(wskakunin_KENTIKU_MENSEKI_ZENTAI_SHINSEI="","",wskakunin_KENTIKU_MENSEKI_ZENTAI_SHINSEI)</f>
        <v/>
      </c>
    </row>
    <row r="1008" spans="1:6" ht="15" customHeight="1">
      <c r="A1008" s="1228"/>
      <c r="B1008" s="69" t="s">
        <v>519</v>
      </c>
      <c r="C1008" s="14" t="s">
        <v>3885</v>
      </c>
      <c r="D1008" s="233"/>
      <c r="E1008" s="14" t="s">
        <v>3886</v>
      </c>
      <c r="F1008" s="233" t="str">
        <f>IF(wskakunin_KENTIKU_MENSEKI_ZENTAI_IGAI="","",wskakunin_KENTIKU_MENSEKI_ZENTAI_IGAI)</f>
        <v/>
      </c>
    </row>
    <row r="1009" spans="1:6" ht="15" customHeight="1">
      <c r="A1009" s="1228"/>
      <c r="B1009" s="69" t="s">
        <v>520</v>
      </c>
      <c r="C1009" s="14" t="s">
        <v>3887</v>
      </c>
      <c r="D1009" s="233"/>
      <c r="E1009" s="14" t="s">
        <v>3888</v>
      </c>
      <c r="F1009" s="233" t="str">
        <f>IF(wskakunin_KENTIKU_MENSEKI_ZENTAI_TOTAL="","",wskakunin_KENTIKU_MENSEKI_ZENTAI_TOTAL)</f>
        <v/>
      </c>
    </row>
    <row r="1010" spans="1:6" ht="15" customHeight="1">
      <c r="A1010" s="1228" t="s">
        <v>3889</v>
      </c>
      <c r="B1010" s="69" t="s">
        <v>1072</v>
      </c>
      <c r="C1010" s="14" t="s">
        <v>1073</v>
      </c>
      <c r="D1010" s="233"/>
      <c r="E1010" s="14" t="s">
        <v>1074</v>
      </c>
      <c r="F1010" s="233" t="str">
        <f>IF(wskakunin_KENTIKU_MENSEKI_SHINSEI="", "", wskakunin_KENTIKU_MENSEKI_SHINSEI)</f>
        <v/>
      </c>
    </row>
    <row r="1011" spans="1:6" ht="15" customHeight="1">
      <c r="A1011" s="1228"/>
      <c r="B1011" s="69" t="s">
        <v>519</v>
      </c>
      <c r="C1011" s="14" t="s">
        <v>1075</v>
      </c>
      <c r="D1011" s="233"/>
      <c r="E1011" s="14" t="s">
        <v>1076</v>
      </c>
      <c r="F1011" s="233" t="str">
        <f>IF(wskakunin_KENTIKU_MENSEKI_IGAI="","",wskakunin_KENTIKU_MENSEKI_IGAI)</f>
        <v/>
      </c>
    </row>
    <row r="1012" spans="1:6" ht="15" customHeight="1">
      <c r="A1012" s="1228"/>
      <c r="B1012" s="69" t="s">
        <v>520</v>
      </c>
      <c r="C1012" s="14" t="s">
        <v>1077</v>
      </c>
      <c r="D1012" s="233"/>
      <c r="E1012" s="14" t="s">
        <v>1078</v>
      </c>
      <c r="F1012" s="233" t="str">
        <f>IF(wskakunin_KENTIKU_MENSEKI_TOTAL="","",wskakunin_KENTIKU_MENSEKI_TOTAL)</f>
        <v/>
      </c>
    </row>
    <row r="1013" spans="1:6" ht="15" customHeight="1">
      <c r="A1013" s="7"/>
      <c r="B1013" s="69" t="s">
        <v>514</v>
      </c>
      <c r="C1013" s="14" t="s">
        <v>1079</v>
      </c>
      <c r="D1013" s="233"/>
      <c r="E1013" s="14" t="s">
        <v>1080</v>
      </c>
      <c r="F1013" s="233" t="str">
        <f>IF(wskakunin_KENPEI_RITU="","",wskakunin_KENPEI_RITU)</f>
        <v/>
      </c>
    </row>
    <row r="1014" spans="1:6" ht="15" customHeight="1">
      <c r="A1014" s="8"/>
      <c r="B1014" s="70"/>
    </row>
    <row r="1015" spans="1:6" ht="15" customHeight="1">
      <c r="A1015" s="65" t="s">
        <v>521</v>
      </c>
      <c r="B1015" s="66"/>
      <c r="D1015" s="15"/>
      <c r="F1015" s="15"/>
    </row>
    <row r="1016" spans="1:6" ht="15" customHeight="1">
      <c r="A1016" s="7" t="s">
        <v>1290</v>
      </c>
      <c r="B1016" s="27"/>
      <c r="D1016" s="15"/>
      <c r="F1016" s="15"/>
    </row>
    <row r="1017" spans="1:6" ht="15" customHeight="1">
      <c r="A1017" s="7"/>
      <c r="B1017" s="69" t="s">
        <v>1072</v>
      </c>
      <c r="C1017" s="14" t="s">
        <v>1081</v>
      </c>
      <c r="D1017" s="232"/>
      <c r="E1017" s="14" t="s">
        <v>1082</v>
      </c>
      <c r="F1017" s="232" t="str">
        <f>IF(wskakunin_NOBE_MENSEKI_BUILD_SHINSEI="", "", wskakunin_NOBE_MENSEKI_BUILD_SHINSEI)</f>
        <v/>
      </c>
    </row>
    <row r="1018" spans="1:6" ht="15" customHeight="1">
      <c r="A1018" s="7"/>
      <c r="B1018" s="69" t="s">
        <v>519</v>
      </c>
      <c r="C1018" s="14" t="s">
        <v>1083</v>
      </c>
      <c r="D1018" s="232"/>
      <c r="E1018" s="14" t="s">
        <v>1084</v>
      </c>
      <c r="F1018" s="232" t="str">
        <f>IF(wskakunin_NOBE_MENSEKI_BUILD_IGAI="","",wskakunin_NOBE_MENSEKI_BUILD_IGAI)</f>
        <v/>
      </c>
    </row>
    <row r="1019" spans="1:6" ht="15" customHeight="1">
      <c r="A1019" s="7"/>
      <c r="B1019" s="69" t="s">
        <v>520</v>
      </c>
      <c r="C1019" s="14" t="s">
        <v>1085</v>
      </c>
      <c r="D1019" s="232"/>
      <c r="E1019" s="14" t="s">
        <v>1086</v>
      </c>
      <c r="F1019" s="232" t="str">
        <f>IF(wskakunin_NOBE_MENSEKI_BUILD_TOTAL="","",wskakunin_NOBE_MENSEKI_BUILD_TOTAL)</f>
        <v/>
      </c>
    </row>
    <row r="1020" spans="1:6" ht="15" customHeight="1">
      <c r="A1020" s="7"/>
      <c r="B1020" s="41"/>
      <c r="D1020" s="106"/>
      <c r="F1020" s="106"/>
    </row>
    <row r="1021" spans="1:6" ht="15" customHeight="1">
      <c r="A1021" s="43" t="s">
        <v>1291</v>
      </c>
      <c r="B1021" s="67"/>
      <c r="D1021" s="106"/>
      <c r="F1021" s="106"/>
    </row>
    <row r="1022" spans="1:6" ht="15" customHeight="1">
      <c r="A1022" s="7"/>
      <c r="B1022" s="69" t="s">
        <v>1072</v>
      </c>
      <c r="C1022" s="14" t="s">
        <v>1087</v>
      </c>
      <c r="D1022" s="232"/>
      <c r="E1022" s="14" t="s">
        <v>1088</v>
      </c>
      <c r="F1022" s="232" t="str">
        <f>IF(wskakunin_NOBE_MENSEKI_TIKAI_SHINSEI="","",wskakunin_NOBE_MENSEKI_TIKAI_SHINSEI)</f>
        <v/>
      </c>
    </row>
    <row r="1023" spans="1:6" ht="15" customHeight="1">
      <c r="A1023" s="7"/>
      <c r="B1023" s="69" t="s">
        <v>519</v>
      </c>
      <c r="C1023" s="14" t="s">
        <v>1089</v>
      </c>
      <c r="D1023" s="232"/>
      <c r="E1023" s="14" t="s">
        <v>1090</v>
      </c>
      <c r="F1023" s="232" t="str">
        <f>IF(wskakunin_NOBE_MENSEKI_TIKAI_IGAI="","",wskakunin_NOBE_MENSEKI_TIKAI_IGAI)</f>
        <v/>
      </c>
    </row>
    <row r="1024" spans="1:6" ht="15" customHeight="1">
      <c r="A1024" s="7"/>
      <c r="B1024" s="69" t="s">
        <v>520</v>
      </c>
      <c r="C1024" s="14" t="s">
        <v>1091</v>
      </c>
      <c r="D1024" s="232"/>
      <c r="E1024" s="14" t="s">
        <v>1092</v>
      </c>
      <c r="F1024" s="232" t="str">
        <f>IF(wskakunin_NOBE_MENSEKI_TIKAI_TOTAL="","",wskakunin_NOBE_MENSEKI_TIKAI_TOTAL)</f>
        <v/>
      </c>
    </row>
    <row r="1025" spans="1:6" ht="15" customHeight="1">
      <c r="A1025" s="68"/>
      <c r="B1025" s="69"/>
      <c r="D1025" s="106"/>
      <c r="F1025" s="106"/>
    </row>
    <row r="1026" spans="1:6" ht="15" customHeight="1">
      <c r="A1026" s="43" t="s">
        <v>1292</v>
      </c>
      <c r="B1026" s="67"/>
      <c r="D1026" s="106"/>
      <c r="F1026" s="106"/>
    </row>
    <row r="1027" spans="1:6" ht="15" customHeight="1">
      <c r="A1027" s="7"/>
      <c r="B1027" s="69" t="s">
        <v>1072</v>
      </c>
      <c r="C1027" s="14" t="s">
        <v>1093</v>
      </c>
      <c r="D1027" s="232"/>
      <c r="E1027" s="14" t="s">
        <v>1094</v>
      </c>
      <c r="F1027" s="232" t="str">
        <f>IF(wskakunin_NOBE_MENSEKI_SYOUKOURO_SHINSEI="","",wskakunin_NOBE_MENSEKI_SYOUKOURO_SHINSEI)</f>
        <v/>
      </c>
    </row>
    <row r="1028" spans="1:6" ht="15" customHeight="1">
      <c r="A1028" s="7"/>
      <c r="B1028" s="69" t="s">
        <v>519</v>
      </c>
      <c r="C1028" s="14" t="s">
        <v>1095</v>
      </c>
      <c r="D1028" s="232"/>
      <c r="E1028" s="14" t="s">
        <v>1096</v>
      </c>
      <c r="F1028" s="232" t="str">
        <f>IF(wskakunin_NOBE_MENSEKI_SYOUKOURO_IGAI="","",wskakunin_NOBE_MENSEKI_SYOUKOURO_IGAI)</f>
        <v/>
      </c>
    </row>
    <row r="1029" spans="1:6" ht="15" customHeight="1">
      <c r="A1029" s="7"/>
      <c r="B1029" s="69" t="s">
        <v>520</v>
      </c>
      <c r="C1029" s="14" t="s">
        <v>1097</v>
      </c>
      <c r="D1029" s="232"/>
      <c r="E1029" s="14" t="s">
        <v>1098</v>
      </c>
      <c r="F1029" s="232" t="str">
        <f>IF(wskakunin_NOBE_MENSEKI_SYOUKOURO_TOTAL="","",wskakunin_NOBE_MENSEKI_SYOUKOURO_TOTAL)</f>
        <v/>
      </c>
    </row>
    <row r="1030" spans="1:6" ht="15" customHeight="1">
      <c r="A1030" s="68"/>
      <c r="B1030" s="69"/>
      <c r="D1030" s="106"/>
      <c r="F1030" s="106"/>
    </row>
    <row r="1031" spans="1:6" ht="15" customHeight="1">
      <c r="A1031" s="43" t="s">
        <v>1293</v>
      </c>
      <c r="B1031" s="67"/>
      <c r="D1031" s="106"/>
      <c r="F1031" s="106"/>
    </row>
    <row r="1032" spans="1:6" ht="15" customHeight="1">
      <c r="A1032" s="7"/>
      <c r="B1032" s="69" t="s">
        <v>1072</v>
      </c>
      <c r="C1032" s="14" t="s">
        <v>1099</v>
      </c>
      <c r="D1032" s="232"/>
      <c r="E1032" s="14" t="s">
        <v>1100</v>
      </c>
      <c r="F1032" s="232" t="str">
        <f>IF(wskakunin_NOBE_MENSEKI_KYOYOU_SHINSEI="","",wskakunin_NOBE_MENSEKI_KYOYOU_SHINSEI)</f>
        <v/>
      </c>
    </row>
    <row r="1033" spans="1:6" ht="15" customHeight="1">
      <c r="A1033" s="7"/>
      <c r="B1033" s="69" t="s">
        <v>519</v>
      </c>
      <c r="C1033" s="14" t="s">
        <v>1101</v>
      </c>
      <c r="D1033" s="232"/>
      <c r="E1033" s="14" t="s">
        <v>1102</v>
      </c>
      <c r="F1033" s="232" t="str">
        <f>IF(wskakunin_NOBE_MENSEKI_KYOYOU_IGAI="","",wskakunin_NOBE_MENSEKI_KYOYOU_IGAI)</f>
        <v/>
      </c>
    </row>
    <row r="1034" spans="1:6" ht="15" customHeight="1">
      <c r="A1034" s="7"/>
      <c r="B1034" s="69" t="s">
        <v>520</v>
      </c>
      <c r="C1034" s="14" t="s">
        <v>1103</v>
      </c>
      <c r="D1034" s="232"/>
      <c r="E1034" s="14" t="s">
        <v>1104</v>
      </c>
      <c r="F1034" s="232" t="str">
        <f>IF(wskakunin_NOBE_MENSEKI_KYOYOU_TOTAL="","",wskakunin_NOBE_MENSEKI_KYOYOU_TOTAL)</f>
        <v/>
      </c>
    </row>
    <row r="1035" spans="1:6" ht="15" customHeight="1">
      <c r="A1035" s="68"/>
      <c r="B1035" s="69"/>
      <c r="D1035" s="106"/>
      <c r="F1035" s="106"/>
    </row>
    <row r="1036" spans="1:6" ht="15" customHeight="1">
      <c r="A1036" s="43" t="s">
        <v>1294</v>
      </c>
      <c r="B1036" s="67"/>
      <c r="D1036" s="106"/>
      <c r="F1036" s="106"/>
    </row>
    <row r="1037" spans="1:6" ht="15" customHeight="1">
      <c r="A1037" s="7"/>
      <c r="B1037" s="69" t="s">
        <v>1072</v>
      </c>
      <c r="C1037" s="14" t="s">
        <v>1105</v>
      </c>
      <c r="D1037" s="232"/>
      <c r="E1037" s="14" t="s">
        <v>1106</v>
      </c>
      <c r="F1037" s="232" t="str">
        <f>IF(wskakunin_NOBE_MENSEKI_SYAKO_SHINSEI="","",wskakunin_NOBE_MENSEKI_SYAKO_SHINSEI)</f>
        <v/>
      </c>
    </row>
    <row r="1038" spans="1:6" ht="15" customHeight="1">
      <c r="A1038" s="7"/>
      <c r="B1038" s="69" t="s">
        <v>519</v>
      </c>
      <c r="C1038" s="14" t="s">
        <v>1107</v>
      </c>
      <c r="D1038" s="232"/>
      <c r="E1038" s="14" t="s">
        <v>1108</v>
      </c>
      <c r="F1038" s="232" t="str">
        <f>IF(wskakunin_NOBE_MENSEKI_SYAKO_IGAI="","",wskakunin_NOBE_MENSEKI_SYAKO_IGAI)</f>
        <v/>
      </c>
    </row>
    <row r="1039" spans="1:6" ht="15" customHeight="1">
      <c r="A1039" s="7"/>
      <c r="B1039" s="69" t="s">
        <v>520</v>
      </c>
      <c r="C1039" s="14" t="s">
        <v>1109</v>
      </c>
      <c r="D1039" s="232"/>
      <c r="E1039" s="14" t="s">
        <v>1110</v>
      </c>
      <c r="F1039" s="232" t="str">
        <f>IF(wskakunin_NOBE_MENSEKI_SYAKO_TOTAL="","",wskakunin_NOBE_MENSEKI_SYAKO_TOTAL)</f>
        <v/>
      </c>
    </row>
    <row r="1040" spans="1:6" ht="15" customHeight="1">
      <c r="A1040" s="68"/>
      <c r="B1040" s="69"/>
      <c r="D1040" s="106"/>
      <c r="F1040" s="106"/>
    </row>
    <row r="1041" spans="1:7" ht="15" customHeight="1">
      <c r="A1041" s="43" t="s">
        <v>1295</v>
      </c>
      <c r="B1041" s="67"/>
      <c r="D1041" s="106"/>
      <c r="F1041" s="106"/>
    </row>
    <row r="1042" spans="1:7" ht="15" customHeight="1">
      <c r="A1042" s="7"/>
      <c r="B1042" s="69" t="s">
        <v>1072</v>
      </c>
      <c r="C1042" s="14" t="s">
        <v>1111</v>
      </c>
      <c r="D1042" s="232"/>
      <c r="E1042" s="14" t="s">
        <v>1112</v>
      </c>
      <c r="F1042" s="232" t="str">
        <f>IF(wskakunin_NOBE_MENSEKI_BITIKUSOUKO_SHINSEI="","",wskakunin_NOBE_MENSEKI_BITIKUSOUKO_SHINSEI)</f>
        <v/>
      </c>
    </row>
    <row r="1043" spans="1:7" ht="15" customHeight="1">
      <c r="A1043" s="7"/>
      <c r="B1043" s="69" t="s">
        <v>519</v>
      </c>
      <c r="C1043" s="14" t="s">
        <v>1113</v>
      </c>
      <c r="D1043" s="232"/>
      <c r="E1043" s="14" t="s">
        <v>1114</v>
      </c>
      <c r="F1043" s="232" t="str">
        <f>IF(wskakunin_NOBE_MENSEKI_BITIKUSOUKO_IGAI="","",wskakunin_NOBE_MENSEKI_BITIKUSOUKO_IGAI)</f>
        <v/>
      </c>
    </row>
    <row r="1044" spans="1:7" ht="15" customHeight="1">
      <c r="A1044" s="7"/>
      <c r="B1044" s="69" t="s">
        <v>520</v>
      </c>
      <c r="C1044" s="14" t="s">
        <v>1115</v>
      </c>
      <c r="D1044" s="232"/>
      <c r="E1044" s="14" t="s">
        <v>1116</v>
      </c>
      <c r="F1044" s="232" t="str">
        <f>IF(wskakunin_NOBE_MENSEKI_BITIKUSOUKO_TOTAL="","",wskakunin_NOBE_MENSEKI_BITIKUSOUKO_TOTAL)</f>
        <v/>
      </c>
    </row>
    <row r="1045" spans="1:7" ht="15" customHeight="1">
      <c r="A1045" s="68"/>
      <c r="B1045" s="69"/>
      <c r="D1045" s="106"/>
      <c r="F1045" s="106"/>
    </row>
    <row r="1046" spans="1:7" ht="15" customHeight="1">
      <c r="A1046" s="43" t="s">
        <v>1296</v>
      </c>
      <c r="B1046" s="67"/>
      <c r="D1046" s="106"/>
      <c r="F1046" s="106"/>
    </row>
    <row r="1047" spans="1:7" ht="15" customHeight="1">
      <c r="A1047" s="7"/>
      <c r="B1047" s="69" t="s">
        <v>1072</v>
      </c>
      <c r="C1047" s="14" t="s">
        <v>1117</v>
      </c>
      <c r="D1047" s="232"/>
      <c r="E1047" s="14" t="s">
        <v>1118</v>
      </c>
      <c r="F1047" s="232" t="str">
        <f>IF(wskakunin_NOBE_MENSEKI_TIKUDENTI_SHINSEI="","",wskakunin_NOBE_MENSEKI_TIKUDENTI_SHINSEI)</f>
        <v/>
      </c>
    </row>
    <row r="1048" spans="1:7" ht="15" customHeight="1">
      <c r="A1048" s="7"/>
      <c r="B1048" s="69" t="s">
        <v>519</v>
      </c>
      <c r="C1048" s="14" t="s">
        <v>1119</v>
      </c>
      <c r="D1048" s="232"/>
      <c r="E1048" s="14" t="s">
        <v>1120</v>
      </c>
      <c r="F1048" s="232" t="str">
        <f>IF(wskakunin_NOBE_MENSEKI_TIKUDENTI_IGAI="","",wskakunin_NOBE_MENSEKI_TIKUDENTI_IGAI)</f>
        <v/>
      </c>
    </row>
    <row r="1049" spans="1:7" ht="15" customHeight="1">
      <c r="A1049" s="7"/>
      <c r="B1049" s="69" t="s">
        <v>520</v>
      </c>
      <c r="C1049" s="14" t="s">
        <v>1121</v>
      </c>
      <c r="D1049" s="232"/>
      <c r="E1049" s="14" t="s">
        <v>1122</v>
      </c>
      <c r="F1049" s="232" t="str">
        <f>IF(wskakunin_NOBE_MENSEKI_TIKUDENTI_TOTAL="","",wskakunin_NOBE_MENSEKI_TIKUDENTI_TOTAL)</f>
        <v/>
      </c>
    </row>
    <row r="1050" spans="1:7" ht="15" customHeight="1">
      <c r="A1050" s="68"/>
      <c r="B1050" s="69"/>
      <c r="D1050" s="106"/>
      <c r="F1050" s="106"/>
    </row>
    <row r="1051" spans="1:7" ht="15" customHeight="1">
      <c r="A1051" s="43" t="s">
        <v>1297</v>
      </c>
      <c r="B1051" s="67"/>
      <c r="D1051" s="106"/>
      <c r="F1051" s="106"/>
    </row>
    <row r="1052" spans="1:7" ht="15" customHeight="1">
      <c r="A1052" s="7"/>
      <c r="B1052" s="69" t="s">
        <v>1072</v>
      </c>
      <c r="C1052" s="14" t="s">
        <v>1123</v>
      </c>
      <c r="D1052" s="232"/>
      <c r="E1052" s="14" t="s">
        <v>1124</v>
      </c>
      <c r="F1052" s="232" t="str">
        <f>IF(wskakunin_NOBE_MENSEKI_JIKAHATUDEN_SHINSEI="","",wskakunin_NOBE_MENSEKI_JIKAHATUDEN_SHINSEI)</f>
        <v/>
      </c>
    </row>
    <row r="1053" spans="1:7" ht="15" customHeight="1">
      <c r="A1053" s="7"/>
      <c r="B1053" s="69" t="s">
        <v>519</v>
      </c>
      <c r="C1053" s="14" t="s">
        <v>1125</v>
      </c>
      <c r="D1053" s="232"/>
      <c r="E1053" s="14" t="s">
        <v>1126</v>
      </c>
      <c r="F1053" s="232" t="str">
        <f>IF(wskakunin_NOBE_MENSEKI_JIKAHATUDEN_IGAI="","",wskakunin_NOBE_MENSEKI_JIKAHATUDEN_IGAI)</f>
        <v/>
      </c>
      <c r="G1053" s="14" t="s">
        <v>529</v>
      </c>
    </row>
    <row r="1054" spans="1:7" ht="15" customHeight="1">
      <c r="A1054" s="7"/>
      <c r="B1054" s="69" t="s">
        <v>520</v>
      </c>
      <c r="C1054" s="14" t="s">
        <v>1127</v>
      </c>
      <c r="D1054" s="232"/>
      <c r="E1054" s="14" t="s">
        <v>1128</v>
      </c>
      <c r="F1054" s="232" t="str">
        <f>IF(wskakunin_NOBE_MENSEKI_JIKAHATUDEN_TOTAL="","",wskakunin_NOBE_MENSEKI_JIKAHATUDEN_TOTAL)</f>
        <v/>
      </c>
      <c r="G1054" s="14" t="s">
        <v>530</v>
      </c>
    </row>
    <row r="1055" spans="1:7" ht="15" customHeight="1">
      <c r="A1055" s="68"/>
      <c r="B1055" s="69"/>
      <c r="D1055" s="106"/>
      <c r="F1055" s="106"/>
    </row>
    <row r="1056" spans="1:7" ht="15" customHeight="1">
      <c r="A1056" s="43" t="s">
        <v>1298</v>
      </c>
      <c r="B1056" s="67"/>
      <c r="D1056" s="106"/>
      <c r="F1056" s="106"/>
    </row>
    <row r="1057" spans="1:7" ht="15" customHeight="1">
      <c r="A1057" s="7"/>
      <c r="B1057" s="69" t="s">
        <v>1072</v>
      </c>
      <c r="C1057" s="14" t="s">
        <v>1129</v>
      </c>
      <c r="D1057" s="232"/>
      <c r="E1057" s="14" t="s">
        <v>1130</v>
      </c>
      <c r="F1057" s="232" t="str">
        <f>IF(wskakunin_NOBE_MENSEKI_CHOSUISOU_SHINSEI="","",wskakunin_NOBE_MENSEKI_CHOSUISOU_SHINSEI)</f>
        <v/>
      </c>
      <c r="G1057" s="14" t="s">
        <v>529</v>
      </c>
    </row>
    <row r="1058" spans="1:7" ht="15" customHeight="1">
      <c r="A1058" s="7"/>
      <c r="B1058" s="69" t="s">
        <v>519</v>
      </c>
      <c r="C1058" s="14" t="s">
        <v>1131</v>
      </c>
      <c r="D1058" s="232"/>
      <c r="E1058" s="14" t="s">
        <v>1132</v>
      </c>
      <c r="F1058" s="232" t="str">
        <f>IF(wskakunin_NOBE_MENSEKI_CHOSUISOU_IGAI="","",wskakunin_NOBE_MENSEKI_CHOSUISOU_IGAI)</f>
        <v/>
      </c>
      <c r="G1058" s="14" t="s">
        <v>529</v>
      </c>
    </row>
    <row r="1059" spans="1:7" ht="15" customHeight="1">
      <c r="A1059" s="7"/>
      <c r="B1059" s="69" t="s">
        <v>520</v>
      </c>
      <c r="C1059" s="14" t="s">
        <v>1133</v>
      </c>
      <c r="D1059" s="232"/>
      <c r="E1059" s="14" t="s">
        <v>1134</v>
      </c>
      <c r="F1059" s="232" t="str">
        <f>IF(wskakunin_NOBE_MENSEKI_CHOSUISOU_TOTAL="","",wskakunin_NOBE_MENSEKI_CHOSUISOU_TOTAL)</f>
        <v/>
      </c>
      <c r="G1059" s="14" t="s">
        <v>529</v>
      </c>
    </row>
    <row r="1060" spans="1:7" ht="15" customHeight="1">
      <c r="A1060" s="68"/>
      <c r="B1060" s="69"/>
      <c r="D1060" s="106"/>
      <c r="F1060" s="106"/>
    </row>
    <row r="1061" spans="1:7" ht="15" customHeight="1">
      <c r="A1061" s="1226" t="s">
        <v>2422</v>
      </c>
      <c r="B1061" s="1227"/>
      <c r="D1061" s="106"/>
      <c r="F1061" s="106"/>
    </row>
    <row r="1062" spans="1:7" ht="15" customHeight="1">
      <c r="A1062" s="7"/>
      <c r="B1062" s="69" t="s">
        <v>1072</v>
      </c>
      <c r="C1062" s="14" t="s">
        <v>2423</v>
      </c>
      <c r="D1062" s="232"/>
      <c r="E1062" s="14" t="s">
        <v>2426</v>
      </c>
      <c r="F1062" s="232" t="str">
        <f>IF(wskakunin_NOBE_MENSEKI_TAKUHAI_SHINSEI="","",wskakunin_NOBE_MENSEKI_TAKUHAI_SHINSEI)</f>
        <v/>
      </c>
    </row>
    <row r="1063" spans="1:7" ht="15" customHeight="1">
      <c r="A1063" s="7"/>
      <c r="B1063" s="69" t="s">
        <v>519</v>
      </c>
      <c r="C1063" s="14" t="s">
        <v>2424</v>
      </c>
      <c r="D1063" s="232"/>
      <c r="E1063" s="14" t="s">
        <v>2427</v>
      </c>
      <c r="F1063" s="232" t="str">
        <f>IF(wskakunin_NOBE_MENSEKI_TAKUHAI_IGAI="","",wskakunin_NOBE_MENSEKI_TAKUHAI_IGAI)</f>
        <v/>
      </c>
    </row>
    <row r="1064" spans="1:7" ht="15" customHeight="1">
      <c r="A1064" s="7"/>
      <c r="B1064" s="69" t="s">
        <v>520</v>
      </c>
      <c r="C1064" s="14" t="s">
        <v>2425</v>
      </c>
      <c r="D1064" s="232"/>
      <c r="E1064" s="14" t="s">
        <v>2428</v>
      </c>
      <c r="F1064" s="232" t="str">
        <f>IF(wskakunin_NOBE_MENSEKI_TAKUHAI_TOTAL="","",wskakunin_NOBE_MENSEKI_TAKUHAI_TOTAL)</f>
        <v/>
      </c>
    </row>
    <row r="1065" spans="1:7" ht="15" customHeight="1">
      <c r="A1065" s="7"/>
      <c r="B1065" s="69"/>
      <c r="D1065" s="106"/>
      <c r="F1065" s="106"/>
    </row>
    <row r="1066" spans="1:7" ht="15" customHeight="1">
      <c r="A1066" s="43" t="s">
        <v>1299</v>
      </c>
      <c r="B1066" s="67"/>
      <c r="D1066" s="106"/>
      <c r="F1066" s="106"/>
    </row>
    <row r="1067" spans="1:7" ht="15" customHeight="1">
      <c r="A1067" s="7"/>
      <c r="B1067" s="69" t="s">
        <v>1072</v>
      </c>
      <c r="C1067" s="14" t="s">
        <v>1135</v>
      </c>
      <c r="D1067" s="233"/>
      <c r="E1067" s="14" t="s">
        <v>1136</v>
      </c>
      <c r="F1067" s="233" t="str">
        <f>IF(wskakunin_NOBE_MENSEKI_JYUTAKU_SHINSEI="", "", wskakunin_NOBE_MENSEKI_JYUTAKU_SHINSEI)</f>
        <v/>
      </c>
    </row>
    <row r="1068" spans="1:7" ht="15" customHeight="1">
      <c r="A1068" s="7"/>
      <c r="B1068" s="69" t="s">
        <v>519</v>
      </c>
      <c r="C1068" s="14" t="s">
        <v>1137</v>
      </c>
      <c r="D1068" s="232"/>
      <c r="E1068" s="14" t="s">
        <v>1138</v>
      </c>
      <c r="F1068" s="232" t="str">
        <f>IF(wskakunin_NOBE_MENSEKI_JYUTAKU_IGAI="","",wskakunin_NOBE_MENSEKI_JYUTAKU_IGAI)</f>
        <v/>
      </c>
    </row>
    <row r="1069" spans="1:7" ht="15" customHeight="1">
      <c r="A1069" s="7"/>
      <c r="B1069" s="69" t="s">
        <v>520</v>
      </c>
      <c r="C1069" s="14" t="s">
        <v>1139</v>
      </c>
      <c r="D1069" s="232"/>
      <c r="E1069" s="14" t="s">
        <v>1140</v>
      </c>
      <c r="F1069" s="232" t="str">
        <f>IF(wskakunin_NOBE_MENSEKI_JYUTAKU_TOTAL="","",wskakunin_NOBE_MENSEKI_JYUTAKU_TOTAL)</f>
        <v/>
      </c>
    </row>
    <row r="1070" spans="1:7" ht="15" customHeight="1">
      <c r="A1070" s="68"/>
      <c r="B1070" s="69"/>
      <c r="D1070" s="106"/>
      <c r="F1070" s="106"/>
    </row>
    <row r="1071" spans="1:7" ht="15" customHeight="1">
      <c r="A1071" s="43" t="s">
        <v>1300</v>
      </c>
      <c r="B1071" s="67"/>
      <c r="D1071" s="106"/>
      <c r="F1071" s="106"/>
    </row>
    <row r="1072" spans="1:7" ht="15" customHeight="1">
      <c r="A1072" s="7"/>
      <c r="B1072" s="69" t="s">
        <v>1072</v>
      </c>
      <c r="C1072" s="14" t="s">
        <v>1141</v>
      </c>
      <c r="D1072" s="232"/>
      <c r="E1072" s="14" t="s">
        <v>1142</v>
      </c>
      <c r="F1072" s="232" t="str">
        <f>IF(wskakunin_NOBE_MENSEKI_ROUJIN_SHINSEI="","",wskakunin_NOBE_MENSEKI_ROUJIN_SHINSEI)</f>
        <v/>
      </c>
    </row>
    <row r="1073" spans="1:6" ht="15" customHeight="1">
      <c r="A1073" s="7"/>
      <c r="B1073" s="69" t="s">
        <v>519</v>
      </c>
      <c r="C1073" s="14" t="s">
        <v>1143</v>
      </c>
      <c r="D1073" s="232"/>
      <c r="E1073" s="14" t="s">
        <v>1144</v>
      </c>
      <c r="F1073" s="232" t="str">
        <f>IF(wskakunin_NOBE_MENSEKI_ROUJIN_IGAI="","",wskakunin_NOBE_MENSEKI_ROUJIN_IGAI)</f>
        <v/>
      </c>
    </row>
    <row r="1074" spans="1:6" ht="15" customHeight="1">
      <c r="A1074" s="7"/>
      <c r="B1074" s="69" t="s">
        <v>520</v>
      </c>
      <c r="C1074" s="14" t="s">
        <v>1145</v>
      </c>
      <c r="D1074" s="232"/>
      <c r="E1074" s="14" t="s">
        <v>1146</v>
      </c>
      <c r="F1074" s="232" t="str">
        <f>IF(wskakunin_NOBE_MENSEKI_ROUJIN_TOTAL="","",wskakunin_NOBE_MENSEKI_ROUJIN_TOTAL)</f>
        <v/>
      </c>
    </row>
    <row r="1075" spans="1:6" ht="15" customHeight="1">
      <c r="A1075" s="68"/>
      <c r="B1075" s="69"/>
      <c r="D1075" s="106"/>
      <c r="F1075" s="106"/>
    </row>
    <row r="1076" spans="1:6" ht="15" customHeight="1">
      <c r="A1076" s="43" t="s">
        <v>1301</v>
      </c>
      <c r="B1076" s="67"/>
      <c r="D1076" s="106"/>
      <c r="F1076" s="106"/>
    </row>
    <row r="1077" spans="1:6" ht="15" customHeight="1">
      <c r="A1077" s="7"/>
      <c r="B1077" s="69" t="s">
        <v>520</v>
      </c>
      <c r="C1077" s="14" t="s">
        <v>1147</v>
      </c>
      <c r="D1077" s="232"/>
      <c r="E1077" s="14" t="s">
        <v>1148</v>
      </c>
      <c r="F1077" s="232" t="str">
        <f>IF(wskakunin_NOBE_MENSEKI="","",wskakunin_NOBE_MENSEKI)</f>
        <v/>
      </c>
    </row>
    <row r="1078" spans="1:6" ht="15" customHeight="1">
      <c r="A1078" s="68"/>
      <c r="B1078" s="69"/>
      <c r="D1078" s="106"/>
      <c r="F1078" s="106"/>
    </row>
    <row r="1079" spans="1:6" ht="15" customHeight="1">
      <c r="A1079" s="43" t="s">
        <v>107</v>
      </c>
      <c r="B1079" s="67"/>
      <c r="D1079" s="106"/>
      <c r="F1079" s="106"/>
    </row>
    <row r="1080" spans="1:6" ht="15" customHeight="1">
      <c r="A1080" s="7"/>
      <c r="B1080" s="69" t="s">
        <v>520</v>
      </c>
      <c r="C1080" s="14" t="s">
        <v>1149</v>
      </c>
      <c r="D1080" s="232"/>
      <c r="E1080" s="14" t="s">
        <v>1150</v>
      </c>
      <c r="F1080" s="232" t="str">
        <f>IF(wskakunin_YOUSEKI_RITU="","",wskakunin_YOUSEKI_RITU)</f>
        <v/>
      </c>
    </row>
    <row r="1081" spans="1:6" ht="15" customHeight="1">
      <c r="A1081" s="68"/>
      <c r="B1081" s="69"/>
      <c r="D1081" s="106"/>
      <c r="F1081" s="106"/>
    </row>
    <row r="1082" spans="1:6" ht="15" customHeight="1">
      <c r="A1082" s="7" t="s">
        <v>522</v>
      </c>
      <c r="B1082" s="27"/>
      <c r="D1082" s="15"/>
      <c r="F1082" s="15"/>
    </row>
    <row r="1083" spans="1:6" ht="15" customHeight="1">
      <c r="A1083" s="7"/>
      <c r="B1083" s="69" t="s">
        <v>1151</v>
      </c>
      <c r="C1083" s="14" t="s">
        <v>1152</v>
      </c>
      <c r="D1083" s="143"/>
      <c r="E1083" s="14" t="s">
        <v>1153</v>
      </c>
      <c r="F1083" s="143" t="str">
        <f>IF(wskakunin_BUILD_SHINSEI_COUNT="","",wskakunin_BUILD_SHINSEI_COUNT)</f>
        <v/>
      </c>
    </row>
    <row r="1084" spans="1:6" ht="15" customHeight="1">
      <c r="A1084" s="7"/>
      <c r="B1084" s="69" t="s">
        <v>1154</v>
      </c>
      <c r="C1084" s="14" t="s">
        <v>1155</v>
      </c>
      <c r="D1084" s="143"/>
      <c r="E1084" s="14" t="s">
        <v>1156</v>
      </c>
      <c r="F1084" s="143" t="str">
        <f>IF(wskakunin_BUILD_SONOTA_COUNT="","",wskakunin_BUILD_SONOTA_COUNT)</f>
        <v/>
      </c>
    </row>
    <row r="1085" spans="1:6" ht="15" customHeight="1">
      <c r="A1085" s="8"/>
      <c r="B1085" s="70"/>
      <c r="D1085" s="15"/>
      <c r="F1085" s="15"/>
    </row>
    <row r="1086" spans="1:6" ht="15" customHeight="1">
      <c r="A1086" s="65" t="s">
        <v>523</v>
      </c>
      <c r="B1086" s="66"/>
      <c r="D1086" s="15"/>
      <c r="F1086" s="15"/>
    </row>
    <row r="1087" spans="1:6" ht="15" customHeight="1">
      <c r="A1087" s="43" t="s">
        <v>634</v>
      </c>
      <c r="B1087" s="67"/>
      <c r="D1087" s="15"/>
      <c r="F1087" s="15"/>
    </row>
    <row r="1088" spans="1:6" ht="15" customHeight="1">
      <c r="A1088" s="7"/>
      <c r="B1088" s="69" t="s">
        <v>1157</v>
      </c>
      <c r="C1088" s="14" t="s">
        <v>1158</v>
      </c>
      <c r="D1088" s="231"/>
      <c r="E1088" s="14" t="s">
        <v>1159</v>
      </c>
      <c r="F1088" s="231" t="str">
        <f>IF(wskakunin_TAKASA_MAX_SHINSEI="","",wskakunin_TAKASA_MAX_SHINSEI)</f>
        <v/>
      </c>
    </row>
    <row r="1089" spans="1:6" ht="15" customHeight="1">
      <c r="A1089" s="68"/>
      <c r="B1089" s="69" t="s">
        <v>524</v>
      </c>
      <c r="C1089" s="14" t="s">
        <v>1160</v>
      </c>
      <c r="D1089" s="231"/>
      <c r="E1089" s="14" t="s">
        <v>1161</v>
      </c>
      <c r="F1089" s="231" t="str">
        <f>IF(wskakunin_TAKASA_MAX_SONOTA="","",wskakunin_TAKASA_MAX_SONOTA)</f>
        <v/>
      </c>
    </row>
    <row r="1090" spans="1:6" ht="15" customHeight="1">
      <c r="A1090" s="43" t="s">
        <v>635</v>
      </c>
      <c r="B1090" s="67"/>
      <c r="D1090" s="15"/>
      <c r="F1090" s="15"/>
    </row>
    <row r="1091" spans="1:6" ht="15" customHeight="1">
      <c r="A1091" s="7"/>
      <c r="B1091" s="69" t="s">
        <v>1157</v>
      </c>
      <c r="C1091" s="14" t="s">
        <v>1162</v>
      </c>
      <c r="D1091" s="214"/>
      <c r="E1091" s="14" t="s">
        <v>1163</v>
      </c>
      <c r="F1091" s="143" t="str">
        <f>IF(wskakunin_KAISU_TIJYOU_SHINSEI="", "", wskakunin_KAISU_TIJYOU_SHINSEI)</f>
        <v/>
      </c>
    </row>
    <row r="1092" spans="1:6" ht="15" customHeight="1">
      <c r="A1092" s="68"/>
      <c r="B1092" s="69" t="s">
        <v>524</v>
      </c>
      <c r="C1092" s="14" t="s">
        <v>1164</v>
      </c>
      <c r="D1092" s="143"/>
      <c r="E1092" s="14" t="s">
        <v>1165</v>
      </c>
      <c r="F1092" s="143" t="str">
        <f>IF(wskakunin_KAISU_TIJYOU_SONOTA="","",wskakunin_KAISU_TIJYOU_SONOTA)</f>
        <v/>
      </c>
    </row>
    <row r="1093" spans="1:6" ht="15" customHeight="1">
      <c r="A1093" s="43" t="s">
        <v>636</v>
      </c>
      <c r="B1093" s="67"/>
      <c r="D1093" s="15"/>
      <c r="F1093" s="15"/>
    </row>
    <row r="1094" spans="1:6" ht="15" customHeight="1">
      <c r="A1094" s="7"/>
      <c r="B1094" s="69" t="s">
        <v>1157</v>
      </c>
      <c r="C1094" s="14" t="s">
        <v>1166</v>
      </c>
      <c r="D1094" s="214" t="s">
        <v>3895</v>
      </c>
      <c r="E1094" s="14" t="s">
        <v>1167</v>
      </c>
      <c r="F1094" s="143" t="str">
        <f>IF(wskakunin_KAISU_TIKA_SHINSEI__zero="", "", wskakunin_KAISU_TIKA_SHINSEI__zero)</f>
        <v>0</v>
      </c>
    </row>
    <row r="1095" spans="1:6" ht="15" customHeight="1">
      <c r="A1095" s="68"/>
      <c r="B1095" s="69" t="s">
        <v>524</v>
      </c>
      <c r="C1095" s="14" t="s">
        <v>1168</v>
      </c>
      <c r="D1095" s="143"/>
      <c r="E1095" s="14" t="s">
        <v>1169</v>
      </c>
      <c r="F1095" s="143" t="str">
        <f>IF(wskakunin_KAISU_TIKA_SONOTA="","",wskakunin_KAISU_TIKA_SONOTA)</f>
        <v/>
      </c>
    </row>
    <row r="1096" spans="1:6" ht="15" customHeight="1">
      <c r="A1096" s="43" t="s">
        <v>42</v>
      </c>
      <c r="B1096" s="67"/>
      <c r="D1096" s="15"/>
      <c r="F1096" s="15"/>
    </row>
    <row r="1097" spans="1:6" ht="15" customHeight="1">
      <c r="A1097" s="7"/>
      <c r="B1097" s="69" t="s">
        <v>42</v>
      </c>
      <c r="C1097" s="14" t="s">
        <v>1170</v>
      </c>
      <c r="D1097" s="143"/>
      <c r="E1097" s="14" t="s">
        <v>1171</v>
      </c>
      <c r="F1097" s="143" t="str">
        <f>IF(wskakunin_KOUZOU1="","",wskakunin_KOUZOU1)</f>
        <v/>
      </c>
    </row>
    <row r="1098" spans="1:6" ht="15" customHeight="1">
      <c r="A1098" s="7"/>
      <c r="B1098" s="69" t="s">
        <v>525</v>
      </c>
      <c r="C1098" s="14" t="s">
        <v>1172</v>
      </c>
      <c r="D1098" s="143"/>
      <c r="E1098" s="14" t="s">
        <v>1173</v>
      </c>
      <c r="F1098" s="143" t="str">
        <f>IF(wskakunin_KOUZOU2="","",wskakunin_KOUZOU2)</f>
        <v/>
      </c>
    </row>
    <row r="1099" spans="1:6" ht="15" customHeight="1">
      <c r="A1099" s="7"/>
      <c r="B1099" s="69"/>
      <c r="E1099" s="14" t="s">
        <v>2420</v>
      </c>
      <c r="F1099" s="14" t="str">
        <f>IF(OR(LEFT(wskakunin_KOUZOU1,2)="木造",LEFT(wskakunin_KOUZOU2,2)="木造"),"○","")</f>
        <v/>
      </c>
    </row>
    <row r="1100" spans="1:6" ht="15" customHeight="1">
      <c r="A1100" s="84"/>
      <c r="B1100" s="69"/>
      <c r="D1100" s="15"/>
      <c r="E1100" s="14" t="s">
        <v>2421</v>
      </c>
      <c r="F1100" s="15"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01" spans="1:6" ht="15" customHeight="1">
      <c r="A1101" s="7"/>
      <c r="B1101" s="27"/>
      <c r="D1101" s="15"/>
      <c r="E1101" s="14" t="s">
        <v>2577</v>
      </c>
      <c r="F1101" s="143" t="str">
        <f>IF(cst_wskakunin_KOUZOU1="","",IF(AND(cst_wskakunin_KOUZOU1&lt;&gt;"",cst_wskakunin_KOUZOU2&lt;&gt;""),cst_wskakunin_KOUZOU1&amp;" 一部 "&amp;cst_wskakunin_KOUZOU2,cst_wskakunin_KOUZOU1))</f>
        <v/>
      </c>
    </row>
    <row r="1102" spans="1:6" ht="15" customHeight="1">
      <c r="A1102" s="7" t="s">
        <v>526</v>
      </c>
      <c r="B1102" s="27"/>
    </row>
    <row r="1103" spans="1:6" ht="15" customHeight="1">
      <c r="A1103" s="7"/>
      <c r="B1103" s="69" t="s">
        <v>638</v>
      </c>
      <c r="C1103" s="14" t="s">
        <v>1174</v>
      </c>
      <c r="D1103" s="143"/>
      <c r="E1103" s="14" t="s">
        <v>1175</v>
      </c>
      <c r="F1103" s="143" t="str">
        <f>IF(wskakunin_TOKUREI_TAKASA=1,"有","無")</f>
        <v>無</v>
      </c>
    </row>
    <row r="1104" spans="1:6" ht="15" customHeight="1">
      <c r="A1104" s="7"/>
      <c r="B1104" s="69" t="s">
        <v>639</v>
      </c>
      <c r="D1104" s="15"/>
      <c r="E1104" s="14" t="s">
        <v>641</v>
      </c>
      <c r="F1104" s="143" t="str">
        <f>IF(wskakunin_TOKUREI_TAKASA=1,"■","□")</f>
        <v>□</v>
      </c>
    </row>
    <row r="1105" spans="1:6" ht="15" customHeight="1">
      <c r="A1105" s="7"/>
      <c r="B1105" s="69" t="s">
        <v>640</v>
      </c>
      <c r="D1105" s="15"/>
      <c r="E1105" s="14" t="s">
        <v>1176</v>
      </c>
      <c r="F1105" s="143" t="str">
        <f>IF(wskakunin_TOKUREI_TAKASA="","□",IF(wskakunin_TOKUREI_TAKASA=0,"■","□"))</f>
        <v>□</v>
      </c>
    </row>
    <row r="1106" spans="1:6" ht="15" customHeight="1">
      <c r="A1106" s="7"/>
      <c r="B1106" s="69"/>
      <c r="D1106" s="15"/>
      <c r="F1106" s="15"/>
    </row>
    <row r="1107" spans="1:6" ht="15" customHeight="1">
      <c r="A1107" s="43" t="s">
        <v>637</v>
      </c>
      <c r="B1107" s="67"/>
      <c r="D1107" s="15"/>
      <c r="F1107" s="15"/>
    </row>
    <row r="1108" spans="1:6" ht="15" customHeight="1">
      <c r="A1108" s="7"/>
      <c r="B1108" s="69" t="s">
        <v>1177</v>
      </c>
      <c r="C1108" s="14" t="s">
        <v>1178</v>
      </c>
      <c r="D1108" s="143"/>
      <c r="E1108" s="14" t="s">
        <v>1179</v>
      </c>
      <c r="F1108" s="143" t="str">
        <f>IF(wskakunin_TOKUREI_TAKASA_DOURO=1,"■","□")</f>
        <v>□</v>
      </c>
    </row>
    <row r="1109" spans="1:6" ht="15" customHeight="1">
      <c r="A1109" s="7"/>
      <c r="B1109" s="69" t="s">
        <v>1180</v>
      </c>
      <c r="C1109" s="14" t="s">
        <v>1181</v>
      </c>
      <c r="D1109" s="143"/>
      <c r="E1109" s="14" t="s">
        <v>1182</v>
      </c>
      <c r="F1109" s="143" t="str">
        <f>IF(wskakunin_TOKUREI_TAKASA_RINTI=1,"■","□")</f>
        <v>□</v>
      </c>
    </row>
    <row r="1110" spans="1:6" ht="15" customHeight="1">
      <c r="A1110" s="7"/>
      <c r="B1110" s="69" t="s">
        <v>1183</v>
      </c>
      <c r="C1110" s="14" t="s">
        <v>1184</v>
      </c>
      <c r="D1110" s="143"/>
      <c r="E1110" s="14" t="s">
        <v>1185</v>
      </c>
      <c r="F1110" s="143" t="str">
        <f>IF(wskakunin_TOKUREI_TAKASA_KITA=1,"■","□")</f>
        <v>□</v>
      </c>
    </row>
    <row r="1111" spans="1:6" ht="15" customHeight="1">
      <c r="A1111" s="8"/>
      <c r="B1111" s="70"/>
      <c r="D1111" s="15"/>
      <c r="F1111" s="15"/>
    </row>
    <row r="1112" spans="1:6" ht="15" customHeight="1">
      <c r="A1112" s="85" t="s">
        <v>527</v>
      </c>
      <c r="B1112" s="94"/>
      <c r="C1112" s="14" t="s">
        <v>1248</v>
      </c>
    </row>
    <row r="1113" spans="1:6" ht="15" customHeight="1">
      <c r="A1113" s="90" t="s">
        <v>1193</v>
      </c>
      <c r="B1113" s="137"/>
    </row>
    <row r="1114" spans="1:6" ht="15" customHeight="1">
      <c r="A1114" s="87"/>
      <c r="B1114" s="80" t="s">
        <v>1249</v>
      </c>
      <c r="C1114" s="14" t="s">
        <v>1254</v>
      </c>
      <c r="D1114" s="214"/>
      <c r="E1114" s="14" t="s">
        <v>1272</v>
      </c>
      <c r="F1114" s="143" t="str">
        <f>IF(wskakunin_kyoka01_HOUREI="","",wskakunin_kyoka01_HOUREI)</f>
        <v/>
      </c>
    </row>
    <row r="1115" spans="1:6" ht="15" customHeight="1">
      <c r="A1115" s="87"/>
      <c r="B1115" s="80" t="s">
        <v>1250</v>
      </c>
      <c r="C1115" s="14" t="s">
        <v>1253</v>
      </c>
      <c r="D1115" s="214"/>
      <c r="E1115" s="14" t="s">
        <v>2628</v>
      </c>
      <c r="F1115" s="143" t="str">
        <f>IF(wskakunin_kyoka01_JOUKOU="","",wskakunin_kyoka01_JOUKOU)</f>
        <v/>
      </c>
    </row>
    <row r="1116" spans="1:6" ht="15" customHeight="1">
      <c r="A1116" s="87"/>
      <c r="B1116" s="80" t="s">
        <v>1251</v>
      </c>
      <c r="C1116" s="14" t="s">
        <v>1255</v>
      </c>
      <c r="D1116" s="214"/>
      <c r="E1116" s="14" t="s">
        <v>2629</v>
      </c>
      <c r="F1116" s="143" t="str">
        <f>IF(wskakunin_kyoka01_KYOKA_NO="","",wskakunin_kyoka01_KYOKA_NO)</f>
        <v/>
      </c>
    </row>
    <row r="1117" spans="1:6" ht="15" customHeight="1">
      <c r="A1117" s="87"/>
      <c r="B1117" s="80" t="s">
        <v>1252</v>
      </c>
      <c r="C1117" s="14" t="s">
        <v>1256</v>
      </c>
      <c r="D1117" s="213"/>
      <c r="E1117" s="14" t="s">
        <v>2630</v>
      </c>
      <c r="F1117" s="143" t="str">
        <f>IF(wskakunin_kyoka01_KYOKA_DATE="","",wskakunin_kyoka01_KYOKA_DATE)</f>
        <v/>
      </c>
    </row>
    <row r="1118" spans="1:6" ht="15" customHeight="1">
      <c r="A1118" s="87"/>
      <c r="B1118" s="80" t="s">
        <v>394</v>
      </c>
      <c r="C1118" s="14" t="s">
        <v>1257</v>
      </c>
      <c r="D1118" s="214"/>
      <c r="E1118" s="14" t="s">
        <v>2631</v>
      </c>
      <c r="F1118" s="143" t="str">
        <f>IF(wskakunin_kyoka01_BIKOU="","",wskakunin_kyoka01_BIKOU)</f>
        <v/>
      </c>
    </row>
    <row r="1119" spans="1:6" ht="15" customHeight="1">
      <c r="A1119" s="87"/>
      <c r="B1119" s="138" t="s">
        <v>1269</v>
      </c>
      <c r="D1119" s="32"/>
      <c r="F1119" s="15"/>
    </row>
    <row r="1120" spans="1:6" ht="15" customHeight="1">
      <c r="A1120" s="87"/>
      <c r="B1120" s="138"/>
      <c r="D1120" s="15"/>
      <c r="F1120" s="15"/>
    </row>
    <row r="1121" spans="1:6" ht="15" customHeight="1">
      <c r="A1121" s="90" t="s">
        <v>1200</v>
      </c>
      <c r="B1121" s="137"/>
    </row>
    <row r="1122" spans="1:6" ht="15" customHeight="1">
      <c r="A1122" s="87"/>
      <c r="B1122" s="80" t="s">
        <v>1249</v>
      </c>
      <c r="C1122" s="14" t="s">
        <v>1258</v>
      </c>
      <c r="D1122" s="214"/>
      <c r="E1122" s="14" t="s">
        <v>1273</v>
      </c>
      <c r="F1122" s="143" t="str">
        <f>IF(wskakunin_kyoka02_HOUREI="","",wskakunin_kyoka02_HOUREI)</f>
        <v/>
      </c>
    </row>
    <row r="1123" spans="1:6" ht="15" customHeight="1">
      <c r="A1123" s="87"/>
      <c r="B1123" s="80" t="s">
        <v>1250</v>
      </c>
      <c r="C1123" s="14" t="s">
        <v>1259</v>
      </c>
      <c r="D1123" s="214"/>
      <c r="E1123" s="14" t="s">
        <v>2632</v>
      </c>
      <c r="F1123" s="143" t="str">
        <f>IF(wskakunin_kyoka02_JOUKOU="","",wskakunin_kyoka02_JOUKOU)</f>
        <v/>
      </c>
    </row>
    <row r="1124" spans="1:6" ht="15" customHeight="1">
      <c r="A1124" s="87"/>
      <c r="B1124" s="80" t="s">
        <v>1251</v>
      </c>
      <c r="C1124" s="14" t="s">
        <v>1260</v>
      </c>
      <c r="D1124" s="214"/>
      <c r="E1124" s="14" t="s">
        <v>2633</v>
      </c>
      <c r="F1124" s="143" t="str">
        <f>IF(wskakunin_kyoka02_KYOKA_NO="","",wskakunin_kyoka02_KYOKA_NO)</f>
        <v/>
      </c>
    </row>
    <row r="1125" spans="1:6" ht="15" customHeight="1">
      <c r="A1125" s="87"/>
      <c r="B1125" s="80" t="s">
        <v>1252</v>
      </c>
      <c r="C1125" s="14" t="s">
        <v>1261</v>
      </c>
      <c r="D1125" s="234"/>
      <c r="E1125" s="14" t="s">
        <v>2634</v>
      </c>
      <c r="F1125" s="234" t="str">
        <f>IF(wskakunin_kyoka02_KYOKA_DATE="","",wskakunin_kyoka02_KYOKA_DATE)</f>
        <v/>
      </c>
    </row>
    <row r="1126" spans="1:6" ht="15" customHeight="1">
      <c r="A1126" s="87"/>
      <c r="B1126" s="80" t="s">
        <v>394</v>
      </c>
      <c r="C1126" s="14" t="s">
        <v>1262</v>
      </c>
      <c r="D1126" s="214"/>
      <c r="E1126" s="14" t="s">
        <v>2635</v>
      </c>
      <c r="F1126" s="143" t="str">
        <f>IF(wskakunin_kyoka02_BIKOU="","",wskakunin_kyoka02_BIKOU)</f>
        <v/>
      </c>
    </row>
    <row r="1127" spans="1:6" ht="15" customHeight="1">
      <c r="A1127" s="87"/>
      <c r="B1127" s="138" t="s">
        <v>1271</v>
      </c>
      <c r="D1127" s="32"/>
      <c r="F1127" s="15"/>
    </row>
    <row r="1128" spans="1:6" ht="15" customHeight="1">
      <c r="A1128" s="139"/>
      <c r="B1128" s="138"/>
      <c r="D1128" s="15"/>
      <c r="F1128" s="15"/>
    </row>
    <row r="1129" spans="1:6" ht="15" customHeight="1">
      <c r="A1129" s="90" t="s">
        <v>1204</v>
      </c>
      <c r="B1129" s="137"/>
    </row>
    <row r="1130" spans="1:6" ht="15" customHeight="1">
      <c r="A1130" s="87"/>
      <c r="B1130" s="80" t="s">
        <v>1249</v>
      </c>
      <c r="C1130" s="14" t="s">
        <v>1263</v>
      </c>
      <c r="D1130" s="214"/>
      <c r="E1130" s="14" t="s">
        <v>1274</v>
      </c>
      <c r="F1130" s="143" t="str">
        <f>IF(wskakunin_kyoka03_HOUREI="","",wskakunin_kyoka03_HOUREI)</f>
        <v/>
      </c>
    </row>
    <row r="1131" spans="1:6" ht="15" customHeight="1">
      <c r="A1131" s="87"/>
      <c r="B1131" s="80" t="s">
        <v>1250</v>
      </c>
      <c r="C1131" s="14" t="s">
        <v>1264</v>
      </c>
      <c r="D1131" s="214"/>
      <c r="E1131" s="14" t="s">
        <v>2636</v>
      </c>
      <c r="F1131" s="143" t="str">
        <f>IF(wskakunin_kyoka03_JOUKOU="","",wskakunin_kyoka03_JOUKOU)</f>
        <v/>
      </c>
    </row>
    <row r="1132" spans="1:6" ht="15" customHeight="1">
      <c r="A1132" s="87"/>
      <c r="B1132" s="80" t="s">
        <v>1251</v>
      </c>
      <c r="C1132" s="14" t="s">
        <v>1265</v>
      </c>
      <c r="D1132" s="214"/>
      <c r="E1132" s="14" t="s">
        <v>2637</v>
      </c>
      <c r="F1132" s="143" t="str">
        <f>IF(wskakunin_kyoka03_KYOKA_NO="","",wskakunin_kyoka03_KYOKA_NO)</f>
        <v/>
      </c>
    </row>
    <row r="1133" spans="1:6" ht="15" customHeight="1">
      <c r="A1133" s="87"/>
      <c r="B1133" s="80" t="s">
        <v>1252</v>
      </c>
      <c r="C1133" s="14" t="s">
        <v>1266</v>
      </c>
      <c r="D1133" s="234"/>
      <c r="E1133" s="14" t="s">
        <v>2638</v>
      </c>
      <c r="F1133" s="234" t="str">
        <f>IF(wskakunin_kyoka03_KYOKA_DATE="","",wskakunin_kyoka03_KYOKA_DATE)</f>
        <v/>
      </c>
    </row>
    <row r="1134" spans="1:6" ht="15" customHeight="1">
      <c r="A1134" s="87"/>
      <c r="B1134" s="80" t="s">
        <v>394</v>
      </c>
      <c r="C1134" s="14" t="s">
        <v>1267</v>
      </c>
      <c r="D1134" s="214"/>
      <c r="E1134" s="14" t="s">
        <v>2639</v>
      </c>
      <c r="F1134" s="143" t="str">
        <f>IF(wskakunin_kyoka03_BIKOU="","",wskakunin_kyoka03_BIKOU)</f>
        <v/>
      </c>
    </row>
    <row r="1135" spans="1:6" ht="15" customHeight="1">
      <c r="A1135" s="87"/>
      <c r="B1135" s="138" t="s">
        <v>1270</v>
      </c>
      <c r="D1135" s="32"/>
      <c r="F1135" s="15"/>
    </row>
    <row r="1136" spans="1:6" ht="15" customHeight="1">
      <c r="A1136" s="139"/>
      <c r="B1136" s="80"/>
      <c r="D1136" s="15"/>
      <c r="F1136" s="15"/>
    </row>
    <row r="1137" spans="1:8" ht="15" customHeight="1">
      <c r="A1137" s="87" t="s">
        <v>1268</v>
      </c>
      <c r="B1137" s="136"/>
      <c r="D1137" s="15"/>
      <c r="E1137" s="14" t="s">
        <v>1275</v>
      </c>
      <c r="F1137" s="143" t="str">
        <f>cst_wskakunin_kyoka01_HOUREI&amp;IF(cst_wskakunin_kyoka02_HOUREI&lt;&gt;"",CHAR(10)&amp;cst_wskakunin_kyoka02_HOUREI,cst_wskakunin_kyoka02_HOUREI)&amp;IF(cst_wskakunin_kyoka03_HOUREI&lt;&gt;"",CHAR(10)&amp;cst_wskakunin_kyoka03_HOUREI,cst_wskakunin_kyoka03_HOUREI)</f>
        <v/>
      </c>
      <c r="G1137" s="14" t="s">
        <v>1276</v>
      </c>
    </row>
    <row r="1138" spans="1:8" ht="15" customHeight="1">
      <c r="A1138" s="89"/>
      <c r="B1138" s="95"/>
      <c r="D1138" s="15"/>
      <c r="F1138" s="15"/>
    </row>
    <row r="1139" spans="1:8" ht="15" customHeight="1">
      <c r="A1139" s="85" t="s">
        <v>1186</v>
      </c>
      <c r="B1139" s="94"/>
      <c r="C1139" s="14" t="s">
        <v>1187</v>
      </c>
      <c r="D1139" s="234"/>
      <c r="E1139" s="14" t="s">
        <v>1188</v>
      </c>
      <c r="F1139" s="234" t="str">
        <f>IF(wskakunin_KOUJI_TYAKUSYU_YOTEI_DATE="", "", wskakunin_KOUJI_TYAKUSYU_YOTEI_DATE)</f>
        <v/>
      </c>
    </row>
    <row r="1140" spans="1:8" ht="15" customHeight="1">
      <c r="A1140" s="89"/>
      <c r="B1140" s="95"/>
      <c r="D1140" s="15"/>
      <c r="F1140" s="15"/>
    </row>
    <row r="1141" spans="1:8" ht="15" customHeight="1">
      <c r="A1141" s="85" t="s">
        <v>1189</v>
      </c>
      <c r="B1141" s="94"/>
      <c r="C1141" s="14" t="s">
        <v>1190</v>
      </c>
      <c r="D1141" s="234"/>
      <c r="E1141" s="14" t="s">
        <v>1191</v>
      </c>
      <c r="F1141" s="234" t="str">
        <f>IF(wskakunin_KOUJI_KANRYOU_YOTEI_DATE="", "", wskakunin_KOUJI_KANRYOU_YOTEI_DATE)</f>
        <v/>
      </c>
    </row>
    <row r="1142" spans="1:8" ht="15" customHeight="1">
      <c r="A1142" s="89"/>
      <c r="B1142" s="95"/>
      <c r="D1142" s="15"/>
      <c r="F1142" s="15"/>
    </row>
    <row r="1143" spans="1:8" ht="15" customHeight="1">
      <c r="A1143" s="46"/>
      <c r="B1143" s="47" t="s">
        <v>617</v>
      </c>
      <c r="E1143" s="14" t="s">
        <v>2419</v>
      </c>
      <c r="F1143" s="42" t="str">
        <f>IF(OR(wskakunin_KOUJI_TYAKUSYU_YOTEI_DATE="",wskakunin_KOUJI_KANRYOU_YOTEI_DATE=""),"",IF(DATEDIF(wskakunin_KOUJI_TYAKUSYU_YOTEI_DATE,wskakunin_KOUJI_KANRYOU_YOTEI_DATE,"D")&lt;=44,0,DATEDIF(wskakunin_KOUJI_TYAKUSYU_YOTEI_DATE,wskakunin_KOUJI_KANRYOU_YOTEI_DATE+16,"Y")))</f>
        <v/>
      </c>
      <c r="G1143" s="15"/>
      <c r="H1143" s="15"/>
    </row>
    <row r="1144" spans="1:8" ht="15" customHeight="1">
      <c r="A1144" s="48"/>
      <c r="B1144" s="64" t="s">
        <v>618</v>
      </c>
      <c r="E1144" s="14" t="s">
        <v>3717</v>
      </c>
      <c r="F1144" s="42" t="str">
        <f>IF(OR(wskakunin_KOUJI_TYAKUSYU_YOTEI_DATE="",wskakunin_KOUJI_KANRYOU_YOTEI_DATE=""),"",IF(DATEDIF(wskakunin_KOUJI_TYAKUSYU_YOTEI_DATE,wskakunin_KOUJI_KANRYOU_YOTEI_DATE,"D")&lt;=44,1,DATEDIF(wskakunin_KOUJI_TYAKUSYU_YOTEI_DATE,wskakunin_KOUJI_KANRYOU_YOTEI_DATE+16,"YM")))</f>
        <v/>
      </c>
      <c r="G1144" s="15"/>
      <c r="H1144" s="15"/>
    </row>
    <row r="1145" spans="1:8" ht="15" customHeight="1">
      <c r="A1145" s="49"/>
      <c r="B1145" s="61"/>
      <c r="G1145" s="15"/>
      <c r="H1145" s="15"/>
    </row>
    <row r="1146" spans="1:8" ht="15" customHeight="1">
      <c r="G1146" s="15"/>
      <c r="H1146" s="15"/>
    </row>
    <row r="1147" spans="1:8" ht="15" customHeight="1">
      <c r="A1147" s="86" t="s">
        <v>1192</v>
      </c>
      <c r="B1147" s="107"/>
    </row>
    <row r="1148" spans="1:8" ht="15" customHeight="1">
      <c r="A1148" s="90" t="s">
        <v>1193</v>
      </c>
      <c r="B1148" s="108"/>
    </row>
    <row r="1149" spans="1:8" ht="15" customHeight="1">
      <c r="A1149" s="88"/>
      <c r="B1149" s="80" t="s">
        <v>642</v>
      </c>
      <c r="C1149" s="14" t="s">
        <v>1194</v>
      </c>
      <c r="D1149" s="143"/>
      <c r="E1149" s="14" t="s">
        <v>1195</v>
      </c>
      <c r="F1149" s="143" t="str">
        <f>IF(wskakunin_koutei01_KOUTEI_KAISUU="","",wskakunin_koutei01_KOUTEI_KAISUU)</f>
        <v/>
      </c>
    </row>
    <row r="1150" spans="1:8" ht="15" customHeight="1">
      <c r="A1150" s="88"/>
      <c r="B1150" s="80" t="s">
        <v>643</v>
      </c>
      <c r="C1150" s="14" t="s">
        <v>1196</v>
      </c>
      <c r="D1150" s="234"/>
      <c r="E1150" s="14" t="s">
        <v>1197</v>
      </c>
      <c r="F1150" s="234" t="str">
        <f>IF(wskakunin_koutei01_KOUTEI_DATE="","",wskakunin_koutei01_KOUTEI_DATE)</f>
        <v/>
      </c>
    </row>
    <row r="1151" spans="1:8" ht="15" customHeight="1">
      <c r="A1151" s="88"/>
      <c r="B1151" s="80" t="s">
        <v>644</v>
      </c>
      <c r="C1151" s="14" t="s">
        <v>1198</v>
      </c>
      <c r="D1151" s="143"/>
      <c r="E1151" s="14" t="s">
        <v>1199</v>
      </c>
      <c r="F1151" s="143" t="str">
        <f>IF(wskakunin_koutei01_KOUTEI_TEXT="","",wskakunin_koutei01_KOUTEI_TEXT)</f>
        <v/>
      </c>
    </row>
    <row r="1152" spans="1:8" ht="15" customHeight="1">
      <c r="A1152" s="91"/>
      <c r="B1152" s="80"/>
      <c r="D1152" s="15"/>
      <c r="F1152" s="15"/>
    </row>
    <row r="1153" spans="1:6" ht="15" customHeight="1">
      <c r="A1153" s="90" t="s">
        <v>1200</v>
      </c>
      <c r="B1153" s="108"/>
    </row>
    <row r="1154" spans="1:6" ht="15" customHeight="1">
      <c r="A1154" s="88"/>
      <c r="B1154" s="80" t="s">
        <v>642</v>
      </c>
      <c r="C1154" s="14" t="s">
        <v>1201</v>
      </c>
      <c r="D1154" s="143"/>
      <c r="E1154" s="14" t="s">
        <v>548</v>
      </c>
      <c r="F1154" s="143" t="str">
        <f>IF(wskakunin_koutei02_KOUTEI_KAISUU="","",wskakunin_koutei02_KOUTEI_KAISUU)</f>
        <v/>
      </c>
    </row>
    <row r="1155" spans="1:6" ht="15" customHeight="1">
      <c r="A1155" s="88"/>
      <c r="B1155" s="80" t="s">
        <v>643</v>
      </c>
      <c r="C1155" s="14" t="s">
        <v>1202</v>
      </c>
      <c r="D1155" s="234"/>
      <c r="E1155" s="14" t="s">
        <v>549</v>
      </c>
      <c r="F1155" s="234" t="str">
        <f>IF(wskakunin_koutei02_KOUTEI_DATE="","",wskakunin_koutei02_KOUTEI_DATE)</f>
        <v/>
      </c>
    </row>
    <row r="1156" spans="1:6" ht="15" customHeight="1">
      <c r="A1156" s="88"/>
      <c r="B1156" s="80" t="s">
        <v>644</v>
      </c>
      <c r="C1156" s="14" t="s">
        <v>1203</v>
      </c>
      <c r="D1156" s="143"/>
      <c r="E1156" s="14" t="s">
        <v>550</v>
      </c>
      <c r="F1156" s="143" t="str">
        <f>IF(wskakunin_koutei02_KOUTEI_TEXT="","",wskakunin_koutei02_KOUTEI_TEXT)</f>
        <v/>
      </c>
    </row>
    <row r="1157" spans="1:6" ht="15" customHeight="1">
      <c r="A1157" s="92"/>
      <c r="B1157" s="80"/>
      <c r="D1157" s="15"/>
      <c r="F1157" s="15"/>
    </row>
    <row r="1158" spans="1:6" ht="15" customHeight="1">
      <c r="A1158" s="87" t="s">
        <v>1204</v>
      </c>
      <c r="B1158" s="42"/>
    </row>
    <row r="1159" spans="1:6" ht="15" customHeight="1">
      <c r="A1159" s="88"/>
      <c r="B1159" s="80" t="s">
        <v>642</v>
      </c>
      <c r="C1159" s="14" t="s">
        <v>1205</v>
      </c>
      <c r="D1159" s="143"/>
      <c r="E1159" s="14" t="s">
        <v>1206</v>
      </c>
      <c r="F1159" s="143" t="str">
        <f>IF(wskakunin_koutei03_KOUTEI_KAISUU="","",wskakunin_koutei03_KOUTEI_KAISUU)</f>
        <v/>
      </c>
    </row>
    <row r="1160" spans="1:6" ht="15" customHeight="1">
      <c r="A1160" s="88"/>
      <c r="B1160" s="80" t="s">
        <v>643</v>
      </c>
      <c r="C1160" s="14" t="s">
        <v>1207</v>
      </c>
      <c r="D1160" s="234"/>
      <c r="E1160" s="14" t="s">
        <v>1208</v>
      </c>
      <c r="F1160" s="234" t="str">
        <f>IF(wskakunin_koutei03_KOUTEI_DATE="","",wskakunin_koutei03_KOUTEI_DATE)</f>
        <v/>
      </c>
    </row>
    <row r="1161" spans="1:6" ht="15" customHeight="1">
      <c r="A1161" s="88"/>
      <c r="B1161" s="80" t="s">
        <v>644</v>
      </c>
      <c r="C1161" s="14" t="s">
        <v>1209</v>
      </c>
      <c r="D1161" s="143"/>
      <c r="E1161" s="14" t="s">
        <v>1210</v>
      </c>
      <c r="F1161" s="143" t="str">
        <f>IF(wskakunin_koutei03_KOUTEI_TEXT="","",wskakunin_koutei03_KOUTEI_TEXT)</f>
        <v/>
      </c>
    </row>
    <row r="1162" spans="1:6" ht="15" customHeight="1">
      <c r="A1162" s="92"/>
      <c r="B1162" s="80"/>
      <c r="D1162" s="15"/>
      <c r="F1162" s="15"/>
    </row>
    <row r="1163" spans="1:6" ht="15" customHeight="1">
      <c r="A1163" s="87" t="s">
        <v>2382</v>
      </c>
      <c r="B1163" s="42"/>
    </row>
    <row r="1164" spans="1:6" ht="15" customHeight="1">
      <c r="A1164" s="88"/>
      <c r="B1164" s="80" t="s">
        <v>642</v>
      </c>
      <c r="C1164" s="14" t="s">
        <v>2613</v>
      </c>
      <c r="D1164" s="143"/>
      <c r="E1164" s="14" t="s">
        <v>2678</v>
      </c>
      <c r="F1164" s="143" t="str">
        <f>IF(wskakunin_koutei04_KOUTEI_KAISUU="","",wskakunin_koutei04_KOUTEI_KAISUU)</f>
        <v/>
      </c>
    </row>
    <row r="1165" spans="1:6" ht="15" customHeight="1">
      <c r="A1165" s="88"/>
      <c r="B1165" s="80" t="s">
        <v>643</v>
      </c>
      <c r="C1165" s="14" t="s">
        <v>2614</v>
      </c>
      <c r="D1165" s="234"/>
      <c r="E1165" s="14" t="s">
        <v>2679</v>
      </c>
      <c r="F1165" s="234" t="str">
        <f>IF(wskakunin_koutei04_KOUTEI_DATE="","",wskakunin_koutei04_KOUTEI_DATE)</f>
        <v/>
      </c>
    </row>
    <row r="1166" spans="1:6" ht="15" customHeight="1">
      <c r="A1166" s="88"/>
      <c r="B1166" s="80" t="s">
        <v>644</v>
      </c>
      <c r="C1166" s="14" t="s">
        <v>2615</v>
      </c>
      <c r="D1166" s="143"/>
      <c r="E1166" s="14" t="s">
        <v>2680</v>
      </c>
      <c r="F1166" s="143" t="str">
        <f>IF(wskakunin_koutei04_KOUTEI_TEXT="","",wskakunin_koutei04_KOUTEI_TEXT)</f>
        <v/>
      </c>
    </row>
    <row r="1167" spans="1:6" ht="15" customHeight="1">
      <c r="A1167" s="93"/>
      <c r="B1167" s="239"/>
      <c r="D1167" s="15"/>
      <c r="F1167" s="15"/>
    </row>
    <row r="1168" spans="1:6" ht="15" customHeight="1">
      <c r="A1168" s="88" t="s">
        <v>2685</v>
      </c>
      <c r="B1168" s="240"/>
      <c r="C1168" s="14" t="s">
        <v>2686</v>
      </c>
      <c r="D1168" s="143"/>
      <c r="E1168" s="14" t="s">
        <v>2687</v>
      </c>
      <c r="F1168" s="143" t="str">
        <f>IF(wskakunin_BOUKA_SETUBI_FLAG="","",wskakunin_BOUKA_SETUBI_FLAG)</f>
        <v/>
      </c>
    </row>
    <row r="1169" spans="1:6" ht="15" customHeight="1">
      <c r="A1169" s="88"/>
      <c r="B1169" s="80" t="s">
        <v>639</v>
      </c>
      <c r="D1169" s="15"/>
      <c r="E1169" s="14" t="s">
        <v>2688</v>
      </c>
      <c r="F1169" s="143" t="str">
        <f>IF(wskakunin_BOUKA_SETUBI_FLAG=1,"■","□")</f>
        <v>□</v>
      </c>
    </row>
    <row r="1170" spans="1:6" ht="15" customHeight="1">
      <c r="A1170" s="88"/>
      <c r="B1170" s="80" t="s">
        <v>640</v>
      </c>
      <c r="D1170" s="15"/>
      <c r="E1170" s="14" t="s">
        <v>2689</v>
      </c>
      <c r="F1170" s="143" t="str">
        <f>IF(wskakunin_BOUKA_SETUBI_FLAG="","□",IF(wskakunin_BOUKA_SETUBI_FLAG=0,"■","□"))</f>
        <v>□</v>
      </c>
    </row>
    <row r="1171" spans="1:6" ht="15" customHeight="1">
      <c r="A1171" s="88"/>
      <c r="B1171" s="136"/>
      <c r="D1171" s="15"/>
      <c r="F1171" s="15"/>
    </row>
    <row r="1172" spans="1:6" ht="15" customHeight="1">
      <c r="A1172" s="28" t="s">
        <v>1211</v>
      </c>
      <c r="B1172" s="94"/>
      <c r="C1172" s="14" t="s">
        <v>1212</v>
      </c>
      <c r="D1172" s="143"/>
      <c r="E1172" s="14" t="s">
        <v>1213</v>
      </c>
      <c r="F1172" s="143" t="str">
        <f>IF(wskakunin_P3_SONOTA="","",wskakunin_P3_SONOTA)</f>
        <v/>
      </c>
    </row>
    <row r="1173" spans="1:6" ht="15" customHeight="1">
      <c r="A1173" s="29"/>
      <c r="B1173" s="95"/>
      <c r="D1173" s="15"/>
      <c r="F1173" s="15"/>
    </row>
    <row r="1174" spans="1:6" ht="15" customHeight="1">
      <c r="A1174" s="96" t="s">
        <v>528</v>
      </c>
      <c r="B1174" s="97"/>
      <c r="C1174" s="14" t="s">
        <v>1214</v>
      </c>
      <c r="D1174" s="143"/>
      <c r="E1174" s="14" t="s">
        <v>1215</v>
      </c>
      <c r="F1174" s="143" t="str">
        <f>IF(wskakunin_P3_BIKOU="","",wskakunin_P3_BIKOU)</f>
        <v/>
      </c>
    </row>
    <row r="1175" spans="1:6" ht="15" customHeight="1">
      <c r="A1175" s="49"/>
      <c r="B1175" s="61"/>
    </row>
    <row r="1178" spans="1:6" ht="15" customHeight="1">
      <c r="A1178" s="167" t="s">
        <v>1216</v>
      </c>
      <c r="B1178" s="104" t="s">
        <v>14</v>
      </c>
    </row>
    <row r="1179" spans="1:6" ht="15" customHeight="1">
      <c r="A1179" s="86" t="s">
        <v>651</v>
      </c>
      <c r="B1179" s="107"/>
    </row>
    <row r="1180" spans="1:6" ht="15" customHeight="1">
      <c r="A1180" s="168" t="s">
        <v>650</v>
      </c>
      <c r="B1180" s="108"/>
    </row>
    <row r="1181" spans="1:6" ht="15" customHeight="1">
      <c r="A1181" s="48"/>
      <c r="B1181" s="72" t="s">
        <v>2260</v>
      </c>
      <c r="E1181" s="32" t="s">
        <v>2261</v>
      </c>
      <c r="F1181" s="42" t="str">
        <f>IF(wskakunin_TOKUREI_1="1","第１号",IF(wskakunin_TOKUREI_2="1","第２号",IF(wskakunin_TOKUREI_3="1","第３号",IF(wskakunin_TOKUREI_4="1","第４号",""))))</f>
        <v/>
      </c>
    </row>
    <row r="1182" spans="1:6" ht="15" customHeight="1">
      <c r="A1182" s="48"/>
      <c r="B1182" s="71" t="s">
        <v>646</v>
      </c>
      <c r="C1182" s="32" t="s">
        <v>1277</v>
      </c>
      <c r="D1182" s="215"/>
    </row>
    <row r="1183" spans="1:6" ht="15" customHeight="1">
      <c r="A1183" s="48"/>
      <c r="B1183" s="71" t="s">
        <v>647</v>
      </c>
      <c r="C1183" s="32" t="s">
        <v>1278</v>
      </c>
      <c r="D1183" s="215"/>
    </row>
    <row r="1184" spans="1:6" ht="15" customHeight="1">
      <c r="A1184" s="48"/>
      <c r="B1184" s="71" t="s">
        <v>648</v>
      </c>
      <c r="C1184" s="32" t="s">
        <v>1279</v>
      </c>
      <c r="D1184" s="215"/>
    </row>
    <row r="1185" spans="1:7" ht="15" customHeight="1">
      <c r="A1185" s="48"/>
      <c r="B1185" s="71" t="s">
        <v>649</v>
      </c>
      <c r="C1185" s="32" t="s">
        <v>1280</v>
      </c>
      <c r="D1185" s="215"/>
    </row>
    <row r="1186" spans="1:7" ht="15" customHeight="1">
      <c r="A1186" s="169"/>
      <c r="B1186" s="72"/>
    </row>
    <row r="1187" spans="1:7" ht="15" customHeight="1">
      <c r="A1187" s="46" t="s">
        <v>652</v>
      </c>
      <c r="B1187" s="47"/>
      <c r="C1187" s="14" t="s">
        <v>1281</v>
      </c>
      <c r="D1187" s="215"/>
      <c r="E1187" s="14" t="s">
        <v>2269</v>
      </c>
      <c r="F1187" s="42" t="str">
        <f>IF(wskakunin_KENTIKU_NINSYO_NO="","",wskakunin_KENTIKU_NINSYO_NO)</f>
        <v/>
      </c>
    </row>
    <row r="1188" spans="1:7" ht="15" customHeight="1">
      <c r="A1188" s="49"/>
      <c r="B1188" s="61"/>
    </row>
    <row r="1189" spans="1:7" ht="15" customHeight="1">
      <c r="A1189" s="170" t="s">
        <v>653</v>
      </c>
      <c r="B1189" s="47"/>
      <c r="C1189" s="14" t="s">
        <v>2270</v>
      </c>
      <c r="D1189" s="237"/>
      <c r="E1189" s="14" t="s">
        <v>2286</v>
      </c>
      <c r="F1189" s="237" t="str">
        <f ca="1">IF(chk_JOB_KIND_kakunin=1,"",IF(wskakunin_KOUJI_TYAKUSYU_DATE="","",wskakunin_KOUJI_TYAKUSYU_DATE))</f>
        <v/>
      </c>
      <c r="G1189" s="14" t="s">
        <v>2272</v>
      </c>
    </row>
    <row r="1190" spans="1:7" ht="15" customHeight="1">
      <c r="A1190" s="171"/>
      <c r="B1190" s="61"/>
      <c r="D1190" s="103"/>
    </row>
    <row r="1191" spans="1:7" ht="15" customHeight="1">
      <c r="A1191" s="170" t="s">
        <v>2670</v>
      </c>
      <c r="B1191" s="47"/>
      <c r="D1191" s="103"/>
    </row>
    <row r="1192" spans="1:7" ht="15" customHeight="1">
      <c r="A1192" s="35"/>
      <c r="B1192" s="72" t="s">
        <v>2669</v>
      </c>
      <c r="D1192" s="103"/>
      <c r="E1192" s="14" t="s">
        <v>2671</v>
      </c>
      <c r="F1192" s="237" t="str">
        <f ca="1">IF(chk_JOB_KIND_kakunin=1,"",IF(wskakunin_KOUJI_KANRYOU_YOTEI_DATE="","",wskakunin_KOUJI_KANRYOU_YOTEI_DATE))</f>
        <v/>
      </c>
    </row>
    <row r="1193" spans="1:7" ht="15" customHeight="1">
      <c r="A1193" s="170" t="s">
        <v>654</v>
      </c>
      <c r="B1193" s="47"/>
    </row>
    <row r="1194" spans="1:7" ht="15" customHeight="1">
      <c r="A1194" s="48"/>
      <c r="B1194" s="71" t="s">
        <v>565</v>
      </c>
      <c r="C1194" s="14" t="s">
        <v>1302</v>
      </c>
      <c r="D1194" s="215"/>
      <c r="E1194" s="14" t="s">
        <v>2288</v>
      </c>
      <c r="F1194" s="42" t="str">
        <f>IF(wskakunin_TOKUTEI_KOUTEI="","",wskakunin_TOKUTEI_KOUTEI)</f>
        <v/>
      </c>
      <c r="G1194" s="14" t="s">
        <v>2274</v>
      </c>
    </row>
    <row r="1195" spans="1:7" ht="15" customHeight="1">
      <c r="A1195" s="48"/>
      <c r="B1195" s="72" t="s">
        <v>2275</v>
      </c>
      <c r="E1195" s="14" t="s">
        <v>2289</v>
      </c>
      <c r="F1195" s="42" t="str">
        <f ca="1">IF(chk_JOB_KIND_kakunin=1,IF(wskakunin_koutei01_KOUTEI_TEXT="","",wskakunin_koutei01_KOUTEI_TEXT),cst_wskakunin_TOKUTEI_KOUTEI)</f>
        <v/>
      </c>
    </row>
    <row r="1196" spans="1:7" ht="15" customHeight="1">
      <c r="A1196" s="48"/>
      <c r="B1196" s="72" t="s">
        <v>2276</v>
      </c>
      <c r="E1196" s="14" t="s">
        <v>2290</v>
      </c>
      <c r="F1196" s="42" t="str">
        <f ca="1">IF(chk_JOB_KIND_kakunin=1,IF(wskakunin_koutei02_KOUTEI_TEXT="","",wskakunin_koutei02_KOUTEI_TEXT),cst_wskakunin_TOKUTEI_KOUTEI)</f>
        <v/>
      </c>
    </row>
    <row r="1197" spans="1:7" ht="15" customHeight="1">
      <c r="A1197" s="48"/>
      <c r="B1197" s="71" t="s">
        <v>655</v>
      </c>
      <c r="C1197" s="14" t="s">
        <v>1303</v>
      </c>
      <c r="D1197" s="237"/>
      <c r="E1197" s="14" t="s">
        <v>2291</v>
      </c>
      <c r="F1197" s="237" t="str">
        <f ca="1">IF(chk_JOB_KIND_kakunin=1,"",IF(wskakunin_TOKUTEI_KOUJI_KANRYOU_DATE="","",wskakunin_TOKUTEI_KOUJI_KANRYOU_DATE))</f>
        <v/>
      </c>
      <c r="G1197" s="14" t="s">
        <v>2272</v>
      </c>
    </row>
    <row r="1198" spans="1:7" ht="15" customHeight="1">
      <c r="A1198" s="48"/>
      <c r="B1198" s="71"/>
      <c r="D1198" s="103"/>
    </row>
    <row r="1199" spans="1:7" ht="15" customHeight="1">
      <c r="A1199" s="48"/>
      <c r="B1199" s="71" t="s">
        <v>656</v>
      </c>
      <c r="C1199" s="14" t="s">
        <v>1304</v>
      </c>
      <c r="D1199" s="236"/>
      <c r="E1199" s="14" t="s">
        <v>2292</v>
      </c>
      <c r="F1199" s="42" t="str">
        <f ca="1">IF(chk_JOB_KIND_kakunin=1,"",IF(wskakunin_KENSA_YUKA_MENSEKI="","",wskakunin_KENSA_YUKA_MENSEKI))</f>
        <v/>
      </c>
      <c r="G1199" s="14" t="s">
        <v>2272</v>
      </c>
    </row>
    <row r="1200" spans="1:7" ht="15" customHeight="1">
      <c r="A1200" s="49"/>
      <c r="B1200" s="73"/>
    </row>
    <row r="1201" spans="1:6" ht="15" customHeight="1">
      <c r="A1201" s="170" t="s">
        <v>657</v>
      </c>
      <c r="B1201" s="47"/>
    </row>
    <row r="1202" spans="1:6" ht="15" customHeight="1">
      <c r="A1202" s="183" t="s">
        <v>1193</v>
      </c>
      <c r="B1202" s="108"/>
    </row>
    <row r="1203" spans="1:6" ht="15" customHeight="1">
      <c r="A1203" s="184"/>
      <c r="B1203" s="72" t="s">
        <v>642</v>
      </c>
      <c r="C1203" s="14" t="s">
        <v>1305</v>
      </c>
      <c r="D1203" s="215"/>
      <c r="E1203" s="14" t="s">
        <v>2293</v>
      </c>
      <c r="F1203" s="42" t="str">
        <f>IF(wskakunin_koutei_izen01_KOUTEI_KAISUU="","",wskakunin_koutei_izen01_KOUTEI_KAISUU)</f>
        <v/>
      </c>
    </row>
    <row r="1204" spans="1:6" ht="15" customHeight="1">
      <c r="A1204" s="184"/>
      <c r="B1204" s="71" t="s">
        <v>565</v>
      </c>
      <c r="C1204" s="14" t="s">
        <v>1306</v>
      </c>
      <c r="D1204" s="215"/>
      <c r="E1204" s="14" t="s">
        <v>2294</v>
      </c>
      <c r="F1204" s="42" t="str">
        <f>IF(wskakunin_koutei_izen01_KOUTEI_TEXT="","",wskakunin_koutei_izen01_KOUTEI_TEXT)</f>
        <v/>
      </c>
    </row>
    <row r="1205" spans="1:6" ht="15" customHeight="1">
      <c r="A1205" s="184"/>
      <c r="B1205" s="113" t="s">
        <v>658</v>
      </c>
      <c r="C1205" s="14" t="s">
        <v>1307</v>
      </c>
      <c r="D1205" s="215"/>
      <c r="E1205" s="14" t="s">
        <v>2295</v>
      </c>
      <c r="F1205" s="42" t="str">
        <f>IF(wskakunin_koutei_izen01_INTER_ISSUE_NAME="","",wskakunin_koutei_izen01_INTER_ISSUE_NAME)</f>
        <v/>
      </c>
    </row>
    <row r="1206" spans="1:6" ht="15" customHeight="1">
      <c r="A1206" s="184"/>
      <c r="B1206" s="113" t="s">
        <v>659</v>
      </c>
      <c r="C1206" s="14" t="s">
        <v>1308</v>
      </c>
      <c r="D1206" s="215"/>
      <c r="E1206" s="14" t="s">
        <v>2296</v>
      </c>
      <c r="F1206" s="42" t="str">
        <f>IF(wskakunin_koutei_izen01_INTER_ISSUE_NO="","",wskakunin_koutei_izen01_INTER_ISSUE_NO)</f>
        <v/>
      </c>
    </row>
    <row r="1207" spans="1:6" ht="15" customHeight="1">
      <c r="A1207" s="184"/>
      <c r="B1207" s="113" t="s">
        <v>660</v>
      </c>
      <c r="C1207" s="14" t="s">
        <v>1309</v>
      </c>
      <c r="D1207" s="237"/>
      <c r="E1207" s="14" t="s">
        <v>2297</v>
      </c>
      <c r="F1207" s="237" t="str">
        <f>IF(wskakunin_koutei_izen01_INTER_ISSUE_DATE="","",wskakunin_koutei_izen01_INTER_ISSUE_DATE)</f>
        <v/>
      </c>
    </row>
    <row r="1208" spans="1:6" ht="15" customHeight="1">
      <c r="A1208" s="185"/>
      <c r="B1208" s="72"/>
    </row>
    <row r="1209" spans="1:6" ht="15" customHeight="1">
      <c r="A1209" s="184" t="s">
        <v>1200</v>
      </c>
      <c r="B1209" s="64"/>
    </row>
    <row r="1210" spans="1:6" ht="15" customHeight="1">
      <c r="A1210" s="184"/>
      <c r="B1210" s="72" t="s">
        <v>642</v>
      </c>
      <c r="C1210" s="14" t="s">
        <v>1310</v>
      </c>
      <c r="D1210" s="215"/>
      <c r="E1210" s="14" t="s">
        <v>2311</v>
      </c>
      <c r="F1210" s="42" t="str">
        <f>IF(wskakunin_koutei_izen02_KOUTEI_KAISUU="","",wskakunin_koutei_izen02_KOUTEI_KAISUU)</f>
        <v/>
      </c>
    </row>
    <row r="1211" spans="1:6" ht="15" customHeight="1">
      <c r="A1211" s="184"/>
      <c r="B1211" s="71" t="s">
        <v>565</v>
      </c>
      <c r="C1211" s="14" t="s">
        <v>1311</v>
      </c>
      <c r="D1211" s="215"/>
      <c r="E1211" s="14" t="s">
        <v>2312</v>
      </c>
      <c r="F1211" s="42" t="str">
        <f>IF(wskakunin_koutei_izen02_KOUTEI_TEXT="","",wskakunin_koutei_izen02_KOUTEI_TEXT)</f>
        <v/>
      </c>
    </row>
    <row r="1212" spans="1:6" ht="15" customHeight="1">
      <c r="A1212" s="184"/>
      <c r="B1212" s="113" t="s">
        <v>658</v>
      </c>
      <c r="C1212" s="14" t="s">
        <v>1312</v>
      </c>
      <c r="D1212" s="215"/>
      <c r="E1212" s="14" t="s">
        <v>2313</v>
      </c>
      <c r="F1212" s="42" t="str">
        <f>IF(wskakunin_koutei_izen02_INTER_ISSUE_NAME="","",wskakunin_koutei_izen02_INTER_ISSUE_NAME)</f>
        <v/>
      </c>
    </row>
    <row r="1213" spans="1:6" ht="15" customHeight="1">
      <c r="A1213" s="184"/>
      <c r="B1213" s="113" t="s">
        <v>659</v>
      </c>
      <c r="C1213" s="14" t="s">
        <v>1313</v>
      </c>
      <c r="D1213" s="215"/>
      <c r="E1213" s="14" t="s">
        <v>2314</v>
      </c>
      <c r="F1213" s="42" t="str">
        <f>IF(wskakunin_koutei_izen02_INTER_ISSUE_NO="","",wskakunin_koutei_izen02_INTER_ISSUE_NO)</f>
        <v/>
      </c>
    </row>
    <row r="1214" spans="1:6" ht="15" customHeight="1">
      <c r="A1214" s="184"/>
      <c r="B1214" s="113" t="s">
        <v>660</v>
      </c>
      <c r="C1214" s="14" t="s">
        <v>1314</v>
      </c>
      <c r="D1214" s="237"/>
      <c r="E1214" s="14" t="s">
        <v>2315</v>
      </c>
      <c r="F1214" s="237" t="str">
        <f>IF(wskakunin_koutei_izen02_INTER_ISSUE_DATE="","",wskakunin_koutei_izen02_INTER_ISSUE_DATE)</f>
        <v/>
      </c>
    </row>
    <row r="1215" spans="1:6" ht="15" customHeight="1">
      <c r="A1215" s="184"/>
      <c r="B1215" s="72"/>
    </row>
    <row r="1216" spans="1:6" ht="15" customHeight="1">
      <c r="A1216" s="183" t="s">
        <v>1204</v>
      </c>
      <c r="B1216" s="108"/>
    </row>
    <row r="1217" spans="1:7" ht="15" customHeight="1">
      <c r="A1217" s="184"/>
      <c r="B1217" s="72" t="s">
        <v>642</v>
      </c>
      <c r="C1217" s="14" t="s">
        <v>2383</v>
      </c>
      <c r="D1217" s="215"/>
      <c r="E1217" s="14" t="s">
        <v>2393</v>
      </c>
      <c r="F1217" s="42" t="str">
        <f>IF(wskakunin_koutei_izen03_KOUTEI_KAISUU="","",wskakunin_koutei_izen03_KOUTEI_KAISUU)</f>
        <v/>
      </c>
    </row>
    <row r="1218" spans="1:7" ht="15" customHeight="1">
      <c r="A1218" s="184"/>
      <c r="B1218" s="71" t="s">
        <v>565</v>
      </c>
      <c r="C1218" s="14" t="s">
        <v>2384</v>
      </c>
      <c r="D1218" s="215"/>
      <c r="E1218" s="14" t="s">
        <v>2394</v>
      </c>
      <c r="F1218" s="42" t="str">
        <f>IF(wskakunin_koutei_izen03_KOUTEI_TEXT="","",wskakunin_koutei_izen03_KOUTEI_TEXT)</f>
        <v/>
      </c>
    </row>
    <row r="1219" spans="1:7" ht="15" customHeight="1">
      <c r="A1219" s="184"/>
      <c r="B1219" s="113" t="s">
        <v>658</v>
      </c>
      <c r="C1219" s="14" t="s">
        <v>2385</v>
      </c>
      <c r="D1219" s="215"/>
      <c r="E1219" s="14" t="s">
        <v>2395</v>
      </c>
      <c r="F1219" s="42" t="str">
        <f>IF(wskakunin_koutei_izen03_INTER_ISSUE_NAME="","",wskakunin_koutei_izen03_INTER_ISSUE_NAME)</f>
        <v/>
      </c>
    </row>
    <row r="1220" spans="1:7" ht="15" customHeight="1">
      <c r="A1220" s="184"/>
      <c r="B1220" s="113" t="s">
        <v>659</v>
      </c>
      <c r="C1220" s="14" t="s">
        <v>2386</v>
      </c>
      <c r="D1220" s="215"/>
      <c r="E1220" s="14" t="s">
        <v>2396</v>
      </c>
      <c r="F1220" s="42" t="str">
        <f>IF(wskakunin_koutei_izen03_INTER_ISSUE_NO="","",wskakunin_koutei_izen03_INTER_ISSUE_NO)</f>
        <v/>
      </c>
    </row>
    <row r="1221" spans="1:7" ht="15" customHeight="1">
      <c r="A1221" s="184"/>
      <c r="B1221" s="113" t="s">
        <v>660</v>
      </c>
      <c r="C1221" s="14" t="s">
        <v>2387</v>
      </c>
      <c r="D1221" s="235"/>
      <c r="E1221" s="14" t="s">
        <v>2397</v>
      </c>
      <c r="F1221" s="235" t="str">
        <f>IF(wskakunin_koutei_izen03_INTER_ISSUE_DATE="","",wskakunin_koutei_izen03_INTER_ISSUE_DATE)</f>
        <v/>
      </c>
    </row>
    <row r="1222" spans="1:7" ht="15" customHeight="1">
      <c r="A1222" s="185"/>
      <c r="B1222" s="72"/>
    </row>
    <row r="1223" spans="1:7" ht="15" customHeight="1">
      <c r="A1223" s="183" t="s">
        <v>2382</v>
      </c>
      <c r="B1223" s="108"/>
    </row>
    <row r="1224" spans="1:7" ht="15" customHeight="1">
      <c r="A1224" s="184"/>
      <c r="B1224" s="72" t="s">
        <v>642</v>
      </c>
      <c r="C1224" s="14" t="s">
        <v>2388</v>
      </c>
      <c r="D1224" s="215"/>
      <c r="E1224" s="14" t="s">
        <v>2398</v>
      </c>
      <c r="F1224" s="42" t="str">
        <f>IF(wskakunin_koutei_izen04_KOUTEI_KAISUU="","",wskakunin_koutei_izen04_KOUTEI_KAISUU)</f>
        <v/>
      </c>
    </row>
    <row r="1225" spans="1:7" ht="15" customHeight="1">
      <c r="A1225" s="184"/>
      <c r="B1225" s="71" t="s">
        <v>565</v>
      </c>
      <c r="C1225" s="14" t="s">
        <v>2389</v>
      </c>
      <c r="D1225" s="215"/>
      <c r="E1225" s="14" t="s">
        <v>2399</v>
      </c>
      <c r="F1225" s="42" t="str">
        <f>IF(wskakunin_koutei_izen04_KOUTEI_TEXT="","",wskakunin_koutei_izen04_KOUTEI_TEXT)</f>
        <v/>
      </c>
    </row>
    <row r="1226" spans="1:7" ht="15" customHeight="1">
      <c r="A1226" s="184"/>
      <c r="B1226" s="113" t="s">
        <v>658</v>
      </c>
      <c r="C1226" s="14" t="s">
        <v>2390</v>
      </c>
      <c r="D1226" s="215"/>
      <c r="E1226" s="14" t="s">
        <v>2400</v>
      </c>
      <c r="F1226" s="42" t="str">
        <f>IF(wskakunin_koutei_izen04_INTER_ISSUE_NAME="","",wskakunin_koutei_izen04_INTER_ISSUE_NAME)</f>
        <v/>
      </c>
    </row>
    <row r="1227" spans="1:7" ht="15" customHeight="1">
      <c r="A1227" s="184"/>
      <c r="B1227" s="113" t="s">
        <v>659</v>
      </c>
      <c r="C1227" s="14" t="s">
        <v>2391</v>
      </c>
      <c r="D1227" s="215"/>
      <c r="E1227" s="14" t="s">
        <v>2401</v>
      </c>
      <c r="F1227" s="42" t="str">
        <f>IF(wskakunin_koutei_izen04_INTER_ISSUE_NO="","",wskakunin_koutei_izen04_INTER_ISSUE_NO)</f>
        <v/>
      </c>
    </row>
    <row r="1228" spans="1:7" ht="15" customHeight="1">
      <c r="A1228" s="184"/>
      <c r="B1228" s="113" t="s">
        <v>660</v>
      </c>
      <c r="C1228" s="14" t="s">
        <v>2392</v>
      </c>
      <c r="D1228" s="235"/>
      <c r="E1228" s="14" t="s">
        <v>2402</v>
      </c>
      <c r="F1228" s="235" t="str">
        <f>IF(wskakunin_koutei_izen04_INTER_ISSUE_DATE="","",wskakunin_koutei_izen04_INTER_ISSUE_DATE)</f>
        <v/>
      </c>
    </row>
    <row r="1229" spans="1:7" ht="15" customHeight="1">
      <c r="A1229" s="185"/>
      <c r="B1229" s="72"/>
    </row>
    <row r="1230" spans="1:7" ht="15" customHeight="1">
      <c r="A1230" s="183" t="s">
        <v>2403</v>
      </c>
      <c r="B1230" s="108" t="s">
        <v>2372</v>
      </c>
      <c r="G1230" s="14" t="s">
        <v>2272</v>
      </c>
    </row>
    <row r="1231" spans="1:7" ht="15" customHeight="1">
      <c r="A1231" s="184"/>
      <c r="B1231" s="72" t="s">
        <v>2277</v>
      </c>
      <c r="E1231" s="14" t="s">
        <v>2298</v>
      </c>
      <c r="F1231" s="42" t="str">
        <f ca="1">IF(chk_JOB_KIND_kakunin=1,"",cst_wskakunin_koutei_izen01_KOUTEI_KAISUU)</f>
        <v/>
      </c>
    </row>
    <row r="1232" spans="1:7" ht="15" customHeight="1">
      <c r="A1232" s="184"/>
      <c r="B1232" s="71" t="s">
        <v>2278</v>
      </c>
      <c r="E1232" s="14" t="s">
        <v>2299</v>
      </c>
      <c r="F1232" s="42" t="str">
        <f ca="1">IF(chk_JOB_KIND_kakunin=1,"",cst_wskakunin_koutei_izen01_KOUTEI_TEXT)</f>
        <v/>
      </c>
    </row>
    <row r="1233" spans="1:7" ht="15" customHeight="1">
      <c r="A1233" s="184"/>
      <c r="B1233" s="113" t="s">
        <v>2279</v>
      </c>
      <c r="E1233" s="14" t="s">
        <v>2302</v>
      </c>
      <c r="F1233" s="42" t="str">
        <f ca="1">IF(chk_JOB_KIND_kakunin=1,"",cst_wskakunin_koutei_izen01_INTER_ISSUE_NAME)</f>
        <v/>
      </c>
    </row>
    <row r="1234" spans="1:7" ht="15" customHeight="1">
      <c r="A1234" s="184"/>
      <c r="B1234" s="113" t="s">
        <v>2280</v>
      </c>
      <c r="E1234" s="14" t="s">
        <v>2300</v>
      </c>
      <c r="F1234" s="42" t="str">
        <f ca="1">IF(chk_JOB_KIND_kakunin=1,"",cst_wskakunin_koutei_izen01_INTER_ISSUE_NO)</f>
        <v/>
      </c>
    </row>
    <row r="1235" spans="1:7" ht="15" customHeight="1">
      <c r="A1235" s="184"/>
      <c r="B1235" s="113" t="s">
        <v>2281</v>
      </c>
      <c r="E1235" s="14" t="s">
        <v>2301</v>
      </c>
      <c r="F1235" s="237" t="str">
        <f ca="1">IF(chk_JOB_KIND_kakunin=1,"",cst_wskakunin_koutei_izen01_INTER_ISSUE_DATE)</f>
        <v/>
      </c>
    </row>
    <row r="1236" spans="1:7" ht="15" customHeight="1">
      <c r="A1236" s="184"/>
      <c r="B1236" s="72"/>
    </row>
    <row r="1237" spans="1:7" ht="15" customHeight="1">
      <c r="A1237" s="183" t="s">
        <v>2403</v>
      </c>
      <c r="B1237" s="108" t="s">
        <v>2373</v>
      </c>
      <c r="G1237" s="14" t="s">
        <v>2308</v>
      </c>
    </row>
    <row r="1238" spans="1:7" ht="15" customHeight="1">
      <c r="A1238" s="184"/>
      <c r="B1238" s="72" t="s">
        <v>2277</v>
      </c>
      <c r="E1238" s="14" t="s">
        <v>2303</v>
      </c>
      <c r="F1238" s="42" t="str">
        <f ca="1">IF(chk_INTER1_state_in_conf=1,cst_wskakunin_koutei01_KOUTEI_KAISUU,"")</f>
        <v/>
      </c>
    </row>
    <row r="1239" spans="1:7" ht="15" customHeight="1">
      <c r="A1239" s="184"/>
      <c r="B1239" s="71" t="s">
        <v>2278</v>
      </c>
      <c r="E1239" s="14" t="s">
        <v>2304</v>
      </c>
      <c r="F1239" s="42" t="str">
        <f ca="1">IF(chk_INTER1_state_in_conf=1,cst_wskakunin_koutei01_KOUTEI_TEXT,"")</f>
        <v/>
      </c>
    </row>
    <row r="1240" spans="1:7" ht="15" customHeight="1">
      <c r="A1240" s="184"/>
      <c r="B1240" s="113" t="s">
        <v>2279</v>
      </c>
      <c r="E1240" s="14" t="s">
        <v>2305</v>
      </c>
      <c r="F1240" s="42" t="str">
        <f ca="1">IF(chk_INTER1_state_in_conf=1,cst_wskakunin_KIKAN_NAME,"")</f>
        <v/>
      </c>
    </row>
    <row r="1241" spans="1:7" ht="15" customHeight="1">
      <c r="A1241" s="184"/>
      <c r="B1241" s="113" t="s">
        <v>2280</v>
      </c>
      <c r="E1241" s="14" t="s">
        <v>2306</v>
      </c>
      <c r="F1241" s="42" t="str">
        <f ca="1">IF(chk_INTER1_state_in_conf=1,"第   KAK建合        号","")</f>
        <v/>
      </c>
    </row>
    <row r="1242" spans="1:7" ht="15" customHeight="1">
      <c r="A1242" s="184"/>
      <c r="B1242" s="113" t="s">
        <v>2281</v>
      </c>
      <c r="E1242" s="14" t="s">
        <v>2307</v>
      </c>
      <c r="F1242" s="237" t="str">
        <f ca="1">IF(chk_INTER1_state_in_conf=1,"","")</f>
        <v/>
      </c>
    </row>
    <row r="1243" spans="1:7" ht="15" customHeight="1">
      <c r="A1243" s="185"/>
      <c r="B1243" s="72"/>
    </row>
    <row r="1244" spans="1:7" ht="15" customHeight="1">
      <c r="A1244" s="183" t="s">
        <v>2404</v>
      </c>
      <c r="B1244" s="108" t="s">
        <v>2372</v>
      </c>
      <c r="G1244" s="14" t="s">
        <v>2272</v>
      </c>
    </row>
    <row r="1245" spans="1:7" ht="15" customHeight="1">
      <c r="A1245" s="184"/>
      <c r="B1245" s="72" t="s">
        <v>2277</v>
      </c>
      <c r="E1245" s="14" t="s">
        <v>2405</v>
      </c>
      <c r="F1245" s="42" t="str">
        <f ca="1">IF(chk_JOB_KIND_kakunin=1,"",cst_wskakunin_koutei_izen02_KOUTEI_KAISUU)</f>
        <v/>
      </c>
    </row>
    <row r="1246" spans="1:7" ht="15" customHeight="1">
      <c r="A1246" s="184"/>
      <c r="B1246" s="71" t="s">
        <v>2278</v>
      </c>
      <c r="E1246" s="14" t="s">
        <v>2406</v>
      </c>
      <c r="F1246" s="42" t="str">
        <f ca="1">IF(chk_JOB_KIND_kakunin=1,"",cst_wskakunin_koutei_izen02_KOUTEI_TEXT)</f>
        <v/>
      </c>
    </row>
    <row r="1247" spans="1:7" ht="15" customHeight="1">
      <c r="A1247" s="184"/>
      <c r="B1247" s="113" t="s">
        <v>2279</v>
      </c>
      <c r="E1247" s="14" t="s">
        <v>2407</v>
      </c>
      <c r="F1247" s="42" t="str">
        <f ca="1">IF(chk_JOB_KIND_kakunin=1,"",cst_wskakunin_koutei_izen02_INTER_ISSUE_NAME)</f>
        <v/>
      </c>
    </row>
    <row r="1248" spans="1:7" ht="15" customHeight="1">
      <c r="A1248" s="184"/>
      <c r="B1248" s="113" t="s">
        <v>2280</v>
      </c>
      <c r="E1248" s="14" t="s">
        <v>2408</v>
      </c>
      <c r="F1248" s="42" t="str">
        <f ca="1">IF(chk_JOB_KIND_kakunin=1,"",cst_wskakunin_koutei_izen02_INTER_ISSUE_NO)</f>
        <v/>
      </c>
    </row>
    <row r="1249" spans="1:7" ht="15" customHeight="1">
      <c r="A1249" s="184"/>
      <c r="B1249" s="113" t="s">
        <v>2281</v>
      </c>
      <c r="E1249" s="14" t="s">
        <v>2409</v>
      </c>
      <c r="F1249" s="237" t="str">
        <f ca="1">IF(chk_JOB_KIND_kakunin=1,"",cst_wskakunin_koutei_izen02_INTER_ISSUE_DATE)</f>
        <v/>
      </c>
    </row>
    <row r="1250" spans="1:7" ht="15" customHeight="1">
      <c r="A1250" s="184"/>
      <c r="B1250" s="72"/>
    </row>
    <row r="1251" spans="1:7" ht="15" customHeight="1">
      <c r="A1251" s="183" t="s">
        <v>2404</v>
      </c>
      <c r="B1251" s="108" t="s">
        <v>2373</v>
      </c>
      <c r="G1251" s="14" t="s">
        <v>2272</v>
      </c>
    </row>
    <row r="1252" spans="1:7" ht="15" customHeight="1">
      <c r="A1252" s="184"/>
      <c r="B1252" s="72" t="s">
        <v>2277</v>
      </c>
      <c r="E1252" s="14" t="s">
        <v>2410</v>
      </c>
      <c r="F1252" s="42" t="str">
        <f ca="1">IF(chk_INTER1_state_in_conf=1,"","")</f>
        <v/>
      </c>
    </row>
    <row r="1253" spans="1:7" ht="15" customHeight="1">
      <c r="A1253" s="184"/>
      <c r="B1253" s="71" t="s">
        <v>2278</v>
      </c>
      <c r="E1253" s="14" t="s">
        <v>2411</v>
      </c>
      <c r="F1253" s="42" t="str">
        <f ca="1">IF(chk_INTER1_state_in_conf=1,"","")</f>
        <v/>
      </c>
    </row>
    <row r="1254" spans="1:7" ht="15" customHeight="1">
      <c r="A1254" s="184"/>
      <c r="B1254" s="113" t="s">
        <v>2279</v>
      </c>
      <c r="E1254" s="14" t="s">
        <v>2412</v>
      </c>
      <c r="F1254" s="42" t="str">
        <f ca="1">IF(chk_INTER1_state_in_conf=1,"","")</f>
        <v/>
      </c>
    </row>
    <row r="1255" spans="1:7" ht="15" customHeight="1">
      <c r="A1255" s="184"/>
      <c r="B1255" s="113" t="s">
        <v>2280</v>
      </c>
      <c r="E1255" s="14" t="s">
        <v>2413</v>
      </c>
      <c r="F1255" s="42" t="str">
        <f ca="1">IF(chk_INTER1_state_in_conf=1,"","")</f>
        <v/>
      </c>
    </row>
    <row r="1256" spans="1:7" ht="15" customHeight="1">
      <c r="A1256" s="184"/>
      <c r="B1256" s="113" t="s">
        <v>2281</v>
      </c>
      <c r="E1256" s="14" t="s">
        <v>2414</v>
      </c>
      <c r="F1256" s="237" t="str">
        <f ca="1">IF(chk_INTER1_state_in_conf=1,"","")</f>
        <v/>
      </c>
    </row>
    <row r="1257" spans="1:7" ht="15" customHeight="1">
      <c r="A1257" s="185"/>
      <c r="B1257" s="72"/>
    </row>
    <row r="1258" spans="1:7" ht="15" customHeight="1">
      <c r="A1258" s="173" t="s">
        <v>661</v>
      </c>
      <c r="B1258" s="107"/>
    </row>
    <row r="1259" spans="1:7" ht="15" customHeight="1">
      <c r="A1259" s="183" t="s">
        <v>1193</v>
      </c>
      <c r="B1259" s="108"/>
    </row>
    <row r="1260" spans="1:7" ht="15" customHeight="1">
      <c r="A1260" s="184"/>
      <c r="B1260" s="72" t="s">
        <v>642</v>
      </c>
      <c r="C1260" s="14" t="s">
        <v>1315</v>
      </c>
      <c r="D1260" s="215"/>
      <c r="E1260" s="14" t="s">
        <v>2318</v>
      </c>
      <c r="F1260" s="42" t="str">
        <f>IF(wskakunin_koutei_ikou01_KOUTEI_KAISUU="","",wskakunin_koutei_ikou01_KOUTEI_KAISUU)</f>
        <v/>
      </c>
    </row>
    <row r="1261" spans="1:7" ht="15" customHeight="1">
      <c r="A1261" s="184"/>
      <c r="B1261" s="71" t="s">
        <v>565</v>
      </c>
      <c r="C1261" s="14" t="s">
        <v>1316</v>
      </c>
      <c r="D1261" s="215"/>
      <c r="E1261" s="14" t="s">
        <v>2319</v>
      </c>
      <c r="F1261" s="42" t="str">
        <f>IF(wskakunin_koutei_ikou01_KOUTEI_TEXT="","",wskakunin_koutei_ikou01_KOUTEI_TEXT)</f>
        <v/>
      </c>
    </row>
    <row r="1262" spans="1:7" ht="15" customHeight="1">
      <c r="A1262" s="184"/>
      <c r="B1262" s="71" t="s">
        <v>662</v>
      </c>
      <c r="C1262" s="14" t="s">
        <v>1317</v>
      </c>
      <c r="D1262" s="237"/>
      <c r="E1262" s="14" t="s">
        <v>2320</v>
      </c>
      <c r="F1262" s="237" t="str">
        <f>IF(wskakunin_koutei_ikou01_KOUTEI_DATE="","",wskakunin_koutei_ikou01_KOUTEI_DATE)</f>
        <v/>
      </c>
    </row>
    <row r="1263" spans="1:7" ht="15" customHeight="1">
      <c r="A1263" s="185"/>
      <c r="B1263" s="72"/>
    </row>
    <row r="1264" spans="1:7" ht="15" customHeight="1">
      <c r="A1264" s="183" t="s">
        <v>2381</v>
      </c>
      <c r="B1264" s="108"/>
    </row>
    <row r="1265" spans="1:7" ht="15" customHeight="1">
      <c r="A1265" s="184"/>
      <c r="B1265" s="72" t="s">
        <v>642</v>
      </c>
      <c r="C1265" s="14" t="s">
        <v>1318</v>
      </c>
      <c r="D1265" s="215"/>
      <c r="E1265" s="14" t="s">
        <v>2328</v>
      </c>
      <c r="F1265" s="42" t="str">
        <f>IF(wskakunin_koutei_ikou02_KOUTEI_KAISUU="","",wskakunin_koutei_ikou02_KOUTEI_KAISUU)</f>
        <v/>
      </c>
    </row>
    <row r="1266" spans="1:7" ht="15" customHeight="1">
      <c r="A1266" s="184"/>
      <c r="B1266" s="71" t="s">
        <v>565</v>
      </c>
      <c r="C1266" s="14" t="s">
        <v>1319</v>
      </c>
      <c r="D1266" s="215"/>
      <c r="E1266" s="14" t="s">
        <v>2329</v>
      </c>
      <c r="F1266" s="42" t="str">
        <f>IF(wskakunin_koutei_ikou02_KOUTEI_TEXT="","",wskakunin_koutei_ikou02_KOUTEI_TEXT)</f>
        <v/>
      </c>
    </row>
    <row r="1267" spans="1:7" ht="15" customHeight="1">
      <c r="A1267" s="184"/>
      <c r="B1267" s="71" t="s">
        <v>662</v>
      </c>
      <c r="C1267" s="14" t="s">
        <v>1320</v>
      </c>
      <c r="D1267" s="237"/>
      <c r="E1267" s="14" t="s">
        <v>2330</v>
      </c>
      <c r="F1267" s="237" t="str">
        <f>IF(wskakunin_koutei_ikou02_KOUTEI_DATE="","",wskakunin_koutei_ikou02_KOUTEI_DATE)</f>
        <v/>
      </c>
    </row>
    <row r="1268" spans="1:7" ht="15" customHeight="1">
      <c r="A1268" s="185"/>
      <c r="B1268" s="72"/>
    </row>
    <row r="1269" spans="1:7" ht="15" customHeight="1">
      <c r="A1269" s="183" t="s">
        <v>2415</v>
      </c>
      <c r="B1269" s="108" t="s">
        <v>2372</v>
      </c>
      <c r="G1269" s="14" t="s">
        <v>2273</v>
      </c>
    </row>
    <row r="1270" spans="1:7" ht="15" customHeight="1">
      <c r="A1270" s="184"/>
      <c r="B1270" s="72" t="s">
        <v>2277</v>
      </c>
      <c r="E1270" s="14" t="s">
        <v>2333</v>
      </c>
      <c r="F1270" s="42" t="str">
        <f ca="1">IF(chk_INTER2_state_in_conf=1,cst_wskakunin_koutei02_KOUTEI_KAISUU,cst_wskakunin_koutei_ikou01_KOUTEI_KAISUU)</f>
        <v/>
      </c>
    </row>
    <row r="1271" spans="1:7" ht="15" customHeight="1">
      <c r="A1271" s="184"/>
      <c r="B1271" s="71" t="s">
        <v>2278</v>
      </c>
      <c r="E1271" s="14" t="s">
        <v>2334</v>
      </c>
      <c r="F1271" s="42" t="str">
        <f ca="1">IF(chk_INTER2_state_in_conf=1,cst_wskakunin_koutei02_KOUTEI_TEXT,cst_wskakunin_koutei_ikou01_KOUTEI_TEXT)</f>
        <v/>
      </c>
    </row>
    <row r="1272" spans="1:7" ht="15" customHeight="1">
      <c r="A1272" s="184"/>
      <c r="B1272" s="71" t="s">
        <v>2317</v>
      </c>
      <c r="E1272" s="14" t="s">
        <v>2321</v>
      </c>
      <c r="F1272" s="237" t="str">
        <f ca="1">IF(chk_INTER2_state_in_conf=1,cst_wskakunin_koutei02_KOUTEI_DATE,cst_wskakunin_koutei_ikou01_KOUTEI_DATE)</f>
        <v/>
      </c>
    </row>
    <row r="1273" spans="1:7" ht="15" customHeight="1">
      <c r="A1273" s="185"/>
      <c r="B1273" s="72"/>
    </row>
    <row r="1274" spans="1:7" ht="15" customHeight="1">
      <c r="A1274" s="183" t="s">
        <v>2415</v>
      </c>
      <c r="B1274" s="64" t="s">
        <v>2373</v>
      </c>
      <c r="G1274" s="14" t="s">
        <v>2316</v>
      </c>
    </row>
    <row r="1275" spans="1:7" ht="15" customHeight="1">
      <c r="A1275" s="184"/>
      <c r="B1275" s="72" t="s">
        <v>2277</v>
      </c>
      <c r="E1275" s="14" t="s">
        <v>2335</v>
      </c>
      <c r="F1275" s="42" t="str">
        <f ca="1">IF(chk_INTER3_state_in_conf=1,cst_wskakunin_koutei03_KOUTEI_KAISUU,"")</f>
        <v/>
      </c>
    </row>
    <row r="1276" spans="1:7" ht="15" customHeight="1">
      <c r="A1276" s="184"/>
      <c r="B1276" s="71" t="s">
        <v>2278</v>
      </c>
      <c r="E1276" s="14" t="s">
        <v>2322</v>
      </c>
      <c r="F1276" s="42" t="str">
        <f ca="1">IF(chk_INTER3_state_in_conf=1,cst_wskakunin_koutei03_KOUTEI_TEXT,"")</f>
        <v/>
      </c>
    </row>
    <row r="1277" spans="1:7" ht="15" customHeight="1">
      <c r="A1277" s="184"/>
      <c r="B1277" s="71" t="s">
        <v>2317</v>
      </c>
      <c r="E1277" s="14" t="s">
        <v>2323</v>
      </c>
      <c r="F1277" s="237" t="str">
        <f ca="1">IF(chk_INTER3_state_in_conf=1,cst_wskakunin_koutei03_KOUTEI_DATE,"")</f>
        <v/>
      </c>
    </row>
    <row r="1278" spans="1:7" ht="15" customHeight="1">
      <c r="A1278" s="185"/>
      <c r="B1278" s="72"/>
    </row>
    <row r="1279" spans="1:7" ht="15" customHeight="1">
      <c r="A1279" s="183" t="s">
        <v>2416</v>
      </c>
      <c r="B1279" s="108" t="s">
        <v>2372</v>
      </c>
      <c r="G1279" s="14" t="s">
        <v>2326</v>
      </c>
    </row>
    <row r="1280" spans="1:7" ht="15" customHeight="1">
      <c r="A1280" s="184"/>
      <c r="B1280" s="72" t="s">
        <v>2277</v>
      </c>
      <c r="E1280" s="14" t="s">
        <v>2336</v>
      </c>
      <c r="F1280" s="42" t="str">
        <f ca="1">IF(chk_INTER2_state_in_conf=1,cst_wskakunin_koutei02_KOUTEI_KAISUU,cst_wskakunin_koutei_ikou02_KOUTEI_KAISUU)</f>
        <v/>
      </c>
    </row>
    <row r="1281" spans="1:7" ht="15" customHeight="1">
      <c r="A1281" s="184"/>
      <c r="B1281" s="71" t="s">
        <v>2278</v>
      </c>
      <c r="E1281" s="14" t="s">
        <v>2337</v>
      </c>
      <c r="F1281" s="42" t="str">
        <f ca="1">IF(chk_INTER2_state_in_conf=1,cst_wskakunin_koutei02_KOUTEI_TEXT,cst_wskakunin_koutei_ikou02_KOUTEI_TEXT)</f>
        <v/>
      </c>
    </row>
    <row r="1282" spans="1:7" ht="15" customHeight="1">
      <c r="A1282" s="184"/>
      <c r="B1282" s="71" t="s">
        <v>2317</v>
      </c>
      <c r="E1282" s="14" t="s">
        <v>2324</v>
      </c>
      <c r="F1282" s="237" t="str">
        <f ca="1">IF(chk_INTER2_state_in_conf=1,cst_wskakunin_koutei02_KOUTEI_DATE,cst_wskakunin_koutei_ikou02_KOUTEI_DATE)</f>
        <v/>
      </c>
    </row>
    <row r="1283" spans="1:7" ht="15" customHeight="1">
      <c r="A1283" s="185"/>
      <c r="B1283" s="72"/>
    </row>
    <row r="1284" spans="1:7" ht="15" customHeight="1">
      <c r="A1284" s="183" t="s">
        <v>2416</v>
      </c>
      <c r="B1284" s="64" t="s">
        <v>2373</v>
      </c>
      <c r="G1284" s="14" t="s">
        <v>2327</v>
      </c>
    </row>
    <row r="1285" spans="1:7" ht="15" customHeight="1">
      <c r="A1285" s="184"/>
      <c r="B1285" s="72" t="s">
        <v>2277</v>
      </c>
      <c r="E1285" s="14" t="s">
        <v>2338</v>
      </c>
      <c r="F1285" s="42" t="str">
        <f ca="1">IF(chk_INTER3_state_in_conf=1,cst_wskakunin_koutei03_KOUTEI_KAISUU,"")</f>
        <v/>
      </c>
    </row>
    <row r="1286" spans="1:7" ht="15" customHeight="1">
      <c r="A1286" s="184"/>
      <c r="B1286" s="71" t="s">
        <v>2278</v>
      </c>
      <c r="E1286" s="14" t="s">
        <v>2325</v>
      </c>
      <c r="F1286" s="42" t="str">
        <f ca="1">IF(chk_INTER3_state_in_conf=1,cst_wskakunin_koutei03_KOUTEI_TEXT,"")</f>
        <v/>
      </c>
    </row>
    <row r="1287" spans="1:7" ht="15" customHeight="1">
      <c r="A1287" s="184"/>
      <c r="B1287" s="71" t="s">
        <v>2317</v>
      </c>
      <c r="E1287" s="14" t="s">
        <v>2339</v>
      </c>
      <c r="F1287" s="237" t="str">
        <f ca="1">IF(chk_INTER3_state_in_conf=1,cst_wskakunin_koutei03_KOUTEI_DATE,"")</f>
        <v/>
      </c>
    </row>
    <row r="1288" spans="1:7" ht="15" customHeight="1">
      <c r="A1288" s="186"/>
      <c r="B1288" s="73"/>
    </row>
    <row r="1289" spans="1:7" ht="15" customHeight="1">
      <c r="A1289" s="170" t="s">
        <v>663</v>
      </c>
      <c r="B1289" s="47"/>
      <c r="C1289" t="s">
        <v>2192</v>
      </c>
    </row>
    <row r="1290" spans="1:7" ht="15" customHeight="1">
      <c r="A1290" s="48"/>
      <c r="B1290" s="77" t="s">
        <v>566</v>
      </c>
      <c r="C1290" s="14" t="s">
        <v>2193</v>
      </c>
      <c r="D1290" s="215"/>
      <c r="E1290" s="14" t="s">
        <v>2331</v>
      </c>
      <c r="F1290" s="42" t="str">
        <f>IF(wskakunin_keibi_henkou01_HENKOU_SYURUI="","",wskakunin_keibi_henkou01_HENKOU_SYURUI)</f>
        <v/>
      </c>
    </row>
    <row r="1291" spans="1:7" ht="15" customHeight="1">
      <c r="A1291" s="48"/>
      <c r="B1291" s="77" t="s">
        <v>567</v>
      </c>
      <c r="C1291" s="14" t="s">
        <v>2194</v>
      </c>
      <c r="D1291" s="215"/>
      <c r="E1291" s="14" t="s">
        <v>2332</v>
      </c>
      <c r="F1291" s="42" t="str">
        <f>IF(wskakunin_keibi_henkou01_HENKOU_GAIYOU="","",wskakunin_keibi_henkou01_HENKOU_GAIYOU)</f>
        <v/>
      </c>
    </row>
    <row r="1292" spans="1:7" ht="15" customHeight="1">
      <c r="A1292" s="49"/>
      <c r="B1292" s="73"/>
      <c r="C1292" s="15"/>
    </row>
    <row r="1293" spans="1:7" ht="15" customHeight="1">
      <c r="A1293" s="167" t="s">
        <v>1217</v>
      </c>
      <c r="B1293" s="104" t="s">
        <v>14</v>
      </c>
      <c r="F1293" s="14" t="s">
        <v>2343</v>
      </c>
      <c r="G1293" s="14" t="s">
        <v>2342</v>
      </c>
    </row>
    <row r="1294" spans="1:7" ht="15" customHeight="1">
      <c r="A1294" s="170" t="s">
        <v>2668</v>
      </c>
      <c r="B1294" s="172"/>
      <c r="C1294" s="14" t="s">
        <v>2271</v>
      </c>
      <c r="D1294" s="237"/>
      <c r="E1294" s="14" t="s">
        <v>2287</v>
      </c>
      <c r="F1294" s="237" t="str">
        <f ca="1">IF(chk_JOB_KIND_kakunin=1,"",IF(wskakunin_KOUJI_KANRYOU_DATE="","",wskakunin_KOUJI_KANRYOU_DATE))</f>
        <v/>
      </c>
      <c r="G1294" s="14" t="s">
        <v>2272</v>
      </c>
    </row>
    <row r="1295" spans="1:7" ht="15" customHeight="1">
      <c r="A1295" s="86" t="s">
        <v>2345</v>
      </c>
      <c r="B1295" s="107"/>
    </row>
    <row r="1296" spans="1:7" ht="15" customHeight="1">
      <c r="A1296" s="168" t="s">
        <v>2347</v>
      </c>
      <c r="B1296" s="108" t="s">
        <v>2362</v>
      </c>
    </row>
    <row r="1297" spans="1:6" ht="15" customHeight="1">
      <c r="A1297" s="48"/>
      <c r="B1297" s="72" t="s">
        <v>642</v>
      </c>
      <c r="E1297" s="14" t="s">
        <v>1195</v>
      </c>
      <c r="F1297" s="14" t="str">
        <f>cst_wskakunin_koutei01_KOUTEI_KAISUU</f>
        <v/>
      </c>
    </row>
    <row r="1298" spans="1:6" ht="15" customHeight="1">
      <c r="A1298" s="48"/>
      <c r="B1298" s="72" t="s">
        <v>565</v>
      </c>
      <c r="E1298" s="14" t="s">
        <v>1199</v>
      </c>
      <c r="F1298" s="14" t="str">
        <f>cst_wskakunin_koutei01_KOUTEI_TEXT</f>
        <v/>
      </c>
    </row>
    <row r="1299" spans="1:6" ht="15" customHeight="1">
      <c r="A1299" s="48"/>
      <c r="B1299" s="72" t="s">
        <v>2346</v>
      </c>
      <c r="C1299" s="14" t="s">
        <v>2352</v>
      </c>
      <c r="D1299" s="215"/>
      <c r="E1299" s="14" t="s">
        <v>2364</v>
      </c>
      <c r="F1299" s="42" t="str">
        <f>IF(wskakunin_koutei01_INTER_ISSUE_NAME="","",wskakunin_koutei01_INTER_ISSUE_NAME)</f>
        <v/>
      </c>
    </row>
    <row r="1300" spans="1:6" ht="15" customHeight="1">
      <c r="A1300" s="48"/>
      <c r="B1300" s="72" t="s">
        <v>659</v>
      </c>
      <c r="C1300" s="14" t="s">
        <v>2353</v>
      </c>
      <c r="D1300" s="215"/>
      <c r="E1300" s="14" t="s">
        <v>2365</v>
      </c>
      <c r="F1300" s="42" t="str">
        <f>IF(wskakunin_koutei01_INTER_ISSUE_NO="","",wskakunin_koutei01_INTER_ISSUE_NO)</f>
        <v/>
      </c>
    </row>
    <row r="1301" spans="1:6" ht="15" customHeight="1">
      <c r="A1301" s="48"/>
      <c r="B1301" s="72" t="s">
        <v>660</v>
      </c>
      <c r="C1301" s="14" t="s">
        <v>2354</v>
      </c>
      <c r="D1301" s="237"/>
      <c r="E1301" s="14" t="s">
        <v>2366</v>
      </c>
      <c r="F1301" s="237" t="str">
        <f>IF(wskakunin_koutei01_INTER_ISSUE_DATE="","",wskakunin_koutei01_INTER_ISSUE_DATE)</f>
        <v/>
      </c>
    </row>
    <row r="1302" spans="1:6" ht="15" customHeight="1">
      <c r="A1302" s="48"/>
      <c r="B1302" s="72"/>
      <c r="D1302" s="181"/>
      <c r="F1302" s="181"/>
    </row>
    <row r="1303" spans="1:6" ht="15" customHeight="1">
      <c r="A1303" s="168"/>
      <c r="B1303" s="182" t="s">
        <v>2363</v>
      </c>
      <c r="D1303" s="181"/>
      <c r="F1303" s="181"/>
    </row>
    <row r="1304" spans="1:6" ht="15" customHeight="1">
      <c r="A1304" s="48"/>
      <c r="B1304" s="72" t="s">
        <v>642</v>
      </c>
      <c r="D1304" s="181"/>
      <c r="E1304" s="14" t="s">
        <v>2368</v>
      </c>
      <c r="F1304" s="23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05" spans="1:6" ht="15" customHeight="1">
      <c r="A1305" s="48"/>
      <c r="B1305" s="72" t="s">
        <v>565</v>
      </c>
      <c r="D1305" s="181"/>
      <c r="E1305" s="14" t="s">
        <v>2369</v>
      </c>
      <c r="F1305" s="23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06" spans="1:6" ht="15" customHeight="1">
      <c r="A1306" s="48"/>
      <c r="B1306" s="72" t="s">
        <v>2346</v>
      </c>
      <c r="D1306" s="181"/>
      <c r="E1306" s="14" t="s">
        <v>2370</v>
      </c>
      <c r="F1306" s="23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07" spans="1:6" ht="15" customHeight="1">
      <c r="A1307" s="48"/>
      <c r="B1307" s="72" t="s">
        <v>659</v>
      </c>
      <c r="D1307" s="181"/>
      <c r="E1307" s="14" t="s">
        <v>2371</v>
      </c>
      <c r="F1307" s="23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08" spans="1:6" ht="15" customHeight="1">
      <c r="A1308" s="48"/>
      <c r="B1308" s="72" t="s">
        <v>660</v>
      </c>
      <c r="D1308" s="181"/>
      <c r="E1308" s="14" t="s">
        <v>2367</v>
      </c>
      <c r="F1308" s="23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09" spans="1:6" ht="15" customHeight="1">
      <c r="A1309" s="169"/>
      <c r="B1309" s="72"/>
    </row>
    <row r="1310" spans="1:6" ht="15" customHeight="1">
      <c r="A1310" s="48" t="s">
        <v>2348</v>
      </c>
      <c r="B1310" s="108" t="s">
        <v>2362</v>
      </c>
    </row>
    <row r="1311" spans="1:6" ht="15" customHeight="1">
      <c r="A1311" s="48"/>
      <c r="B1311" s="72" t="s">
        <v>642</v>
      </c>
      <c r="E1311" s="14" t="s">
        <v>548</v>
      </c>
      <c r="F1311" s="14" t="str">
        <f>cst_wskakunin_koutei02_KOUTEI_KAISUU</f>
        <v/>
      </c>
    </row>
    <row r="1312" spans="1:6" ht="15" customHeight="1">
      <c r="A1312" s="48"/>
      <c r="B1312" s="72" t="s">
        <v>565</v>
      </c>
      <c r="E1312" s="14" t="s">
        <v>550</v>
      </c>
      <c r="F1312" s="14" t="str">
        <f>cst_wskakunin_koutei02_KOUTEI_TEXT</f>
        <v/>
      </c>
    </row>
    <row r="1313" spans="1:6" ht="15" customHeight="1">
      <c r="A1313" s="48"/>
      <c r="B1313" s="72" t="s">
        <v>2346</v>
      </c>
      <c r="C1313" s="14" t="s">
        <v>2349</v>
      </c>
      <c r="D1313" s="215"/>
      <c r="E1313" s="14" t="s">
        <v>2374</v>
      </c>
      <c r="F1313" s="42" t="str">
        <f>IF(wskakunin_koutei02_INTER_ISSUE_NAME="","",wskakunin_koutei02_INTER_ISSUE_NAME)</f>
        <v/>
      </c>
    </row>
    <row r="1314" spans="1:6" ht="15" customHeight="1">
      <c r="A1314" s="48"/>
      <c r="B1314" s="72" t="s">
        <v>659</v>
      </c>
      <c r="C1314" s="14" t="s">
        <v>2350</v>
      </c>
      <c r="D1314" s="215"/>
      <c r="E1314" s="14" t="s">
        <v>2375</v>
      </c>
      <c r="F1314" s="42" t="str">
        <f>IF(wskakunin_koutei02_INTER_ISSUE_NO="","",wskakunin_koutei02_INTER_ISSUE_NO)</f>
        <v/>
      </c>
    </row>
    <row r="1315" spans="1:6" ht="15" customHeight="1">
      <c r="A1315" s="48"/>
      <c r="B1315" s="72" t="s">
        <v>660</v>
      </c>
      <c r="C1315" s="14" t="s">
        <v>2351</v>
      </c>
      <c r="D1315" s="237"/>
      <c r="E1315" s="14" t="s">
        <v>2355</v>
      </c>
      <c r="F1315" s="237" t="str">
        <f>IF(wskakunin_koutei02_INTER_ISSUE_DATE="","",wskakunin_koutei02_INTER_ISSUE_DATE)</f>
        <v/>
      </c>
    </row>
    <row r="1316" spans="1:6" ht="15" customHeight="1">
      <c r="A1316" s="48"/>
      <c r="B1316" s="72"/>
      <c r="D1316" s="181"/>
      <c r="F1316" s="181"/>
    </row>
    <row r="1317" spans="1:6" ht="15" customHeight="1">
      <c r="A1317" s="48"/>
      <c r="B1317" s="72"/>
      <c r="D1317" s="181"/>
      <c r="F1317" s="181"/>
    </row>
    <row r="1318" spans="1:6" ht="15" customHeight="1">
      <c r="A1318" s="168"/>
      <c r="B1318" s="182" t="s">
        <v>2363</v>
      </c>
      <c r="D1318" s="181"/>
      <c r="F1318" s="181"/>
    </row>
    <row r="1319" spans="1:6" ht="15" customHeight="1">
      <c r="A1319" s="48"/>
      <c r="B1319" s="72" t="s">
        <v>642</v>
      </c>
      <c r="D1319" s="181"/>
      <c r="E1319" s="14" t="s">
        <v>2376</v>
      </c>
      <c r="F1319" s="23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320" spans="1:6" ht="15" customHeight="1">
      <c r="A1320" s="48"/>
      <c r="B1320" s="72" t="s">
        <v>565</v>
      </c>
      <c r="D1320" s="181"/>
      <c r="E1320" s="14" t="s">
        <v>2377</v>
      </c>
      <c r="F1320" s="23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321" spans="1:6" ht="15" customHeight="1">
      <c r="A1321" s="48"/>
      <c r="B1321" s="72" t="s">
        <v>2346</v>
      </c>
      <c r="D1321" s="181"/>
      <c r="E1321" s="14" t="s">
        <v>2378</v>
      </c>
      <c r="F1321" s="23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322" spans="1:6" ht="15" customHeight="1">
      <c r="A1322" s="48"/>
      <c r="B1322" s="72" t="s">
        <v>659</v>
      </c>
      <c r="D1322" s="181"/>
      <c r="E1322" s="14" t="s">
        <v>2379</v>
      </c>
      <c r="F1322" s="23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323" spans="1:6" ht="15" customHeight="1">
      <c r="A1323" s="48"/>
      <c r="B1323" s="72" t="s">
        <v>660</v>
      </c>
      <c r="D1323" s="181"/>
      <c r="E1323" s="14" t="s">
        <v>2380</v>
      </c>
      <c r="F1323" s="23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324" spans="1:6" ht="15" customHeight="1">
      <c r="A1324" s="49"/>
      <c r="B1324" s="73"/>
    </row>
    <row r="1325" spans="1:6" ht="15" customHeight="1">
      <c r="A1325" s="180"/>
      <c r="B1325" s="179"/>
    </row>
    <row r="1326" spans="1:6" ht="15" customHeight="1">
      <c r="A1326" s="42" t="s">
        <v>2674</v>
      </c>
      <c r="B1326" s="42"/>
      <c r="C1326" s="14" t="s">
        <v>2675</v>
      </c>
      <c r="D1326" s="42"/>
      <c r="E1326" s="14" t="s">
        <v>2676</v>
      </c>
      <c r="F1326" s="42" t="str">
        <f>IF(shinsei_build_YOUTO="","",shinsei_build_YOUTO)</f>
        <v/>
      </c>
    </row>
  </sheetData>
  <mergeCells count="3">
    <mergeCell ref="A1061:B1061"/>
    <mergeCell ref="A1007:A1009"/>
    <mergeCell ref="A1010:A1012"/>
  </mergeCells>
  <phoneticPr fontId="139"/>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1967" t="s">
        <v>2825</v>
      </c>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AH4" s="861" t="str">
        <f>HYPERLINK("#A55：X108")</f>
        <v>#A55：X108</v>
      </c>
      <c r="AI4" s="864" t="s">
        <v>3467</v>
      </c>
      <c r="AJ4" s="865"/>
      <c r="AK4" s="865"/>
      <c r="AL4" s="865"/>
    </row>
    <row r="5" spans="1:38">
      <c r="A5" s="1967"/>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1979" t="s">
        <v>3727</v>
      </c>
      <c r="R8" s="1979"/>
      <c r="S8" s="1979"/>
      <c r="T8" s="1979"/>
      <c r="U8" s="1979"/>
      <c r="V8" s="1979"/>
      <c r="W8" s="1979"/>
      <c r="X8" s="1979"/>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1966" t="str">
        <f>cst_wskakunin_owner1_JIMU_NAME</f>
        <v/>
      </c>
      <c r="R15" s="1966"/>
      <c r="S15" s="1966"/>
      <c r="T15" s="1966"/>
      <c r="U15" s="1966"/>
      <c r="V15" s="1966"/>
      <c r="W15" s="1966"/>
    </row>
    <row r="16" spans="1:38">
      <c r="M16" s="857" t="s">
        <v>3468</v>
      </c>
      <c r="Q16" s="1966" t="str">
        <f>cst_wskakunin_owner1__space2</f>
        <v/>
      </c>
      <c r="R16" s="1966"/>
      <c r="S16" s="1966"/>
      <c r="T16" s="1966"/>
      <c r="U16" s="1966"/>
      <c r="V16" s="1966"/>
      <c r="W16" s="1966"/>
    </row>
    <row r="17" spans="1:24">
      <c r="Q17" s="1966" t="str">
        <f>cst_wskakunin_owner2_JIMU_NAME</f>
        <v/>
      </c>
      <c r="R17" s="1966"/>
      <c r="S17" s="1966"/>
      <c r="T17" s="1966"/>
      <c r="U17" s="1966"/>
      <c r="V17" s="1966"/>
      <c r="W17" s="1966"/>
      <c r="X17" s="869"/>
    </row>
    <row r="18" spans="1:24">
      <c r="Q18" s="1966" t="str">
        <f>cst_wskakunin_owner2__space2</f>
        <v/>
      </c>
      <c r="R18" s="1966"/>
      <c r="S18" s="1966"/>
      <c r="T18" s="1966"/>
      <c r="U18" s="1966"/>
      <c r="V18" s="1966"/>
      <c r="W18" s="1966"/>
    </row>
    <row r="19" spans="1:24">
      <c r="Q19" s="1966" t="str">
        <f>cst_wskakunin_owner3_JIMU_NAME</f>
        <v/>
      </c>
      <c r="R19" s="1966"/>
      <c r="S19" s="1966"/>
      <c r="T19" s="1966"/>
      <c r="U19" s="1966"/>
      <c r="V19" s="1966"/>
      <c r="W19" s="1966"/>
      <c r="X19" s="870"/>
    </row>
    <row r="20" spans="1:24">
      <c r="Q20" s="1966" t="str">
        <f>cst_wskakunin_owner3__space2</f>
        <v/>
      </c>
      <c r="R20" s="1966"/>
      <c r="S20" s="1966"/>
      <c r="T20" s="1966"/>
      <c r="U20" s="1966"/>
      <c r="V20" s="1966"/>
      <c r="W20" s="1966"/>
    </row>
    <row r="22" spans="1:24">
      <c r="B22" s="2004" t="str">
        <f>cst_wskakunin_SHINSEI_DATE</f>
        <v/>
      </c>
      <c r="C22" s="2004"/>
      <c r="D22" s="2004"/>
      <c r="E22" s="2004"/>
      <c r="F22" s="2004"/>
      <c r="G22" s="2004"/>
      <c r="H22" s="2004"/>
      <c r="I22" s="2004"/>
      <c r="J22" s="857" t="s">
        <v>3567</v>
      </c>
    </row>
    <row r="23" spans="1:24">
      <c r="A23" s="857" t="s">
        <v>3568</v>
      </c>
    </row>
    <row r="26" spans="1:24">
      <c r="A26" s="1970" t="s">
        <v>0</v>
      </c>
      <c r="B26" s="1970"/>
      <c r="C26" s="1970"/>
      <c r="D26" s="1970"/>
      <c r="E26" s="1970"/>
      <c r="F26" s="1970"/>
      <c r="G26" s="1970"/>
      <c r="H26" s="1970"/>
      <c r="I26" s="1970"/>
      <c r="J26" s="1970"/>
      <c r="K26" s="1970"/>
      <c r="L26" s="1970"/>
      <c r="M26" s="1970"/>
      <c r="N26" s="1970"/>
      <c r="O26" s="1970"/>
      <c r="P26" s="1970"/>
      <c r="Q26" s="1970"/>
      <c r="R26" s="1970"/>
      <c r="S26" s="1970"/>
      <c r="T26" s="1970"/>
      <c r="U26" s="1970"/>
      <c r="V26" s="1970"/>
      <c r="W26" s="1970"/>
      <c r="X26" s="1970"/>
    </row>
    <row r="29" spans="1:24">
      <c r="B29" s="1972" t="s">
        <v>3563</v>
      </c>
      <c r="C29" s="1972"/>
      <c r="D29" s="1972"/>
      <c r="E29" s="1972"/>
      <c r="F29" s="1972"/>
      <c r="G29" s="1972"/>
      <c r="H29" s="1972"/>
      <c r="J29" s="871" t="s">
        <v>374</v>
      </c>
      <c r="K29" s="1998" t="str">
        <f>IF(目次・入力シート!$BK$31="","＜目次・入力シートに入力してください＞",目次・入力シート!$BK$31)</f>
        <v>＜目次・入力シートに入力してください＞</v>
      </c>
      <c r="L29" s="1998"/>
      <c r="M29" s="1998"/>
      <c r="N29" s="1998"/>
      <c r="O29" s="1998"/>
      <c r="P29" s="1998"/>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1971" t="s">
        <v>3564</v>
      </c>
      <c r="C32" s="1971"/>
      <c r="D32" s="1971"/>
      <c r="E32" s="1971"/>
      <c r="F32" s="1971"/>
      <c r="G32" s="1971"/>
      <c r="H32" s="1971"/>
      <c r="J32" s="2006" t="str">
        <f>IF(目次・入力シート!$BJ$33="","＜目次・入力シートに入力してください＞",目次・入力シート!$BJ$33)</f>
        <v>＜目次・入力シートに入力してください＞</v>
      </c>
      <c r="K32" s="2006"/>
      <c r="L32" s="2006"/>
      <c r="M32" s="2006"/>
      <c r="N32" s="2006"/>
      <c r="O32" s="2006"/>
      <c r="P32" s="2006"/>
      <c r="Q32" s="2006"/>
    </row>
    <row r="35" spans="1:24">
      <c r="B35" s="1971" t="s">
        <v>3473</v>
      </c>
      <c r="C35" s="1971"/>
      <c r="D35" s="1971"/>
      <c r="E35" s="1971"/>
      <c r="F35" s="1971"/>
      <c r="G35" s="1971"/>
      <c r="H35" s="1971"/>
      <c r="J35" s="1969"/>
      <c r="K35" s="1969"/>
      <c r="L35" s="1969"/>
      <c r="M35" s="1969"/>
      <c r="N35" s="1969"/>
      <c r="O35" s="1969"/>
      <c r="P35" s="1969"/>
      <c r="Q35" s="1969"/>
      <c r="R35" s="1969"/>
      <c r="S35" s="1969"/>
      <c r="T35" s="1969"/>
      <c r="U35" s="1969"/>
      <c r="V35" s="1969"/>
      <c r="W35" s="1969"/>
    </row>
    <row r="36" spans="1:24">
      <c r="J36" s="1969"/>
      <c r="K36" s="1969"/>
      <c r="L36" s="1969"/>
      <c r="M36" s="1969"/>
      <c r="N36" s="1969"/>
      <c r="O36" s="1969"/>
      <c r="P36" s="1969"/>
      <c r="Q36" s="1969"/>
      <c r="R36" s="1969"/>
      <c r="S36" s="1969"/>
      <c r="T36" s="1969"/>
      <c r="U36" s="1969"/>
      <c r="V36" s="1969"/>
      <c r="W36" s="1969"/>
    </row>
    <row r="37" spans="1:24">
      <c r="J37" s="1969"/>
      <c r="K37" s="1969"/>
      <c r="L37" s="1969"/>
      <c r="M37" s="1969"/>
      <c r="N37" s="1969"/>
      <c r="O37" s="1969"/>
      <c r="P37" s="1969"/>
      <c r="Q37" s="1969"/>
      <c r="R37" s="1969"/>
      <c r="S37" s="1969"/>
      <c r="T37" s="1969"/>
      <c r="U37" s="1969"/>
      <c r="V37" s="1969"/>
      <c r="W37" s="1969"/>
    </row>
    <row r="40" spans="1:24">
      <c r="A40" s="1974" t="s">
        <v>3474</v>
      </c>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row>
    <row r="41" spans="1:24">
      <c r="A41" s="1974"/>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row>
    <row r="50" spans="1:38">
      <c r="N50" s="857" t="s">
        <v>3475</v>
      </c>
    </row>
    <row r="52" spans="1:38">
      <c r="O52" s="1979" t="s">
        <v>3727</v>
      </c>
      <c r="P52" s="1979"/>
      <c r="Q52" s="1979"/>
      <c r="R52" s="1979"/>
      <c r="S52" s="1979"/>
      <c r="T52" s="1979"/>
      <c r="U52" s="1979"/>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1975"/>
      <c r="G58" s="1975"/>
      <c r="H58" s="1975"/>
      <c r="I58" s="1975"/>
      <c r="J58" s="1975"/>
      <c r="K58" s="1975"/>
      <c r="L58" s="1975"/>
      <c r="M58" s="1975"/>
      <c r="N58" s="1975"/>
      <c r="O58" s="1975"/>
      <c r="P58" s="1975"/>
      <c r="Q58" s="1975"/>
      <c r="R58" s="1975"/>
      <c r="S58" s="1975"/>
      <c r="T58" s="1975"/>
      <c r="U58" s="1975"/>
      <c r="V58" s="1975"/>
      <c r="W58" s="1975"/>
      <c r="AH58" s="861" t="str">
        <f>HYPERLINK("#A55：X108")</f>
        <v>#A55：X108</v>
      </c>
      <c r="AI58" s="864" t="s">
        <v>3467</v>
      </c>
      <c r="AJ58" s="865"/>
      <c r="AK58" s="865"/>
      <c r="AL58" s="865"/>
    </row>
    <row r="59" spans="1:38">
      <c r="B59" s="857" t="s">
        <v>3478</v>
      </c>
      <c r="F59" s="1976"/>
      <c r="G59" s="1976"/>
      <c r="H59" s="1976"/>
      <c r="I59" s="1976"/>
      <c r="J59" s="1976"/>
      <c r="K59" s="1976"/>
      <c r="L59" s="1976"/>
      <c r="M59" s="1976"/>
      <c r="N59" s="1976"/>
      <c r="O59" s="1976"/>
      <c r="P59" s="1976"/>
      <c r="Q59" s="1976"/>
      <c r="R59" s="1976"/>
      <c r="S59" s="1976"/>
      <c r="T59" s="1976"/>
      <c r="U59" s="1976"/>
      <c r="V59" s="1976"/>
      <c r="W59" s="1976"/>
    </row>
    <row r="60" spans="1:38">
      <c r="B60" s="857" t="s">
        <v>3479</v>
      </c>
      <c r="F60" s="1969"/>
      <c r="G60" s="1969"/>
      <c r="H60" s="1969"/>
      <c r="I60" s="1969"/>
      <c r="J60" s="1969"/>
      <c r="K60" s="1969"/>
      <c r="L60" s="1969"/>
      <c r="M60" s="1969"/>
      <c r="N60" s="1969"/>
      <c r="O60" s="1969"/>
      <c r="P60" s="1969"/>
      <c r="Q60" s="1969"/>
      <c r="R60" s="1969"/>
      <c r="S60" s="1969"/>
      <c r="T60" s="1969"/>
      <c r="U60" s="1969"/>
      <c r="V60" s="1969"/>
      <c r="W60" s="1969"/>
      <c r="AH60" s="873"/>
      <c r="AI60" s="873"/>
      <c r="AJ60" s="873"/>
      <c r="AK60" s="873"/>
      <c r="AL60" s="873"/>
    </row>
    <row r="61" spans="1:38">
      <c r="F61" s="1969"/>
      <c r="G61" s="1969"/>
      <c r="H61" s="1969"/>
      <c r="I61" s="1969"/>
      <c r="J61" s="1969"/>
      <c r="K61" s="1969"/>
      <c r="L61" s="1969"/>
      <c r="M61" s="1969"/>
      <c r="N61" s="1969"/>
      <c r="O61" s="1969"/>
      <c r="P61" s="1969"/>
      <c r="Q61" s="1969"/>
      <c r="R61" s="1969"/>
      <c r="S61" s="1969"/>
      <c r="T61" s="1969"/>
      <c r="U61" s="1969"/>
      <c r="V61" s="1969"/>
      <c r="W61" s="196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8:X8"/>
    <mergeCell ref="Q15:W15"/>
    <mergeCell ref="Q16:W16"/>
    <mergeCell ref="Q17:W17"/>
    <mergeCell ref="Q19:W19"/>
    <mergeCell ref="Q20:W20"/>
    <mergeCell ref="B22:I22"/>
    <mergeCell ref="A26:X26"/>
    <mergeCell ref="B29:H29"/>
    <mergeCell ref="K29:P29"/>
    <mergeCell ref="F58:W58"/>
    <mergeCell ref="F59:W59"/>
    <mergeCell ref="F60:W61"/>
    <mergeCell ref="B32:H32"/>
    <mergeCell ref="J32:Q32"/>
    <mergeCell ref="B35:H35"/>
    <mergeCell ref="J35:W37"/>
    <mergeCell ref="A40:X41"/>
    <mergeCell ref="O52:U52"/>
  </mergeCells>
  <phoneticPr fontId="139"/>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6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79995117038483843"/>
  </sheetPr>
  <dimension ref="A1:AL123"/>
  <sheetViews>
    <sheetView workbookViewId="0"/>
  </sheetViews>
  <sheetFormatPr defaultColWidth="3.625" defaultRowHeight="15" customHeight="1"/>
  <cols>
    <col min="1" max="33" width="3.625" style="888" customWidth="1"/>
    <col min="34" max="34" width="14" style="888" customWidth="1"/>
    <col min="35" max="289" width="3.625" style="888" customWidth="1"/>
    <col min="290" max="290" width="14" style="888" customWidth="1"/>
    <col min="291" max="545" width="3.625" style="888" customWidth="1"/>
    <col min="546" max="546" width="14" style="888" customWidth="1"/>
    <col min="547" max="801" width="3.625" style="888" customWidth="1"/>
    <col min="802" max="802" width="14" style="888" customWidth="1"/>
    <col min="803" max="1057" width="3.625" style="888" customWidth="1"/>
    <col min="1058" max="1058" width="14" style="888" customWidth="1"/>
    <col min="1059" max="1313" width="3.625" style="888" customWidth="1"/>
    <col min="1314" max="1314" width="14" style="888" customWidth="1"/>
    <col min="1315" max="1569" width="3.625" style="888" customWidth="1"/>
    <col min="1570" max="1570" width="14" style="888" customWidth="1"/>
    <col min="1571" max="1825" width="3.625" style="888" customWidth="1"/>
    <col min="1826" max="1826" width="14" style="888" customWidth="1"/>
    <col min="1827" max="2081" width="3.625" style="888" customWidth="1"/>
    <col min="2082" max="2082" width="14" style="888" customWidth="1"/>
    <col min="2083" max="2337" width="3.625" style="888" customWidth="1"/>
    <col min="2338" max="2338" width="14" style="888" customWidth="1"/>
    <col min="2339" max="2593" width="3.625" style="888" customWidth="1"/>
    <col min="2594" max="2594" width="14" style="888" customWidth="1"/>
    <col min="2595" max="2849" width="3.625" style="888" customWidth="1"/>
    <col min="2850" max="2850" width="14" style="888" customWidth="1"/>
    <col min="2851" max="3105" width="3.625" style="888" customWidth="1"/>
    <col min="3106" max="3106" width="14" style="888" customWidth="1"/>
    <col min="3107" max="3361" width="3.625" style="888" customWidth="1"/>
    <col min="3362" max="3362" width="14" style="888" customWidth="1"/>
    <col min="3363" max="3617" width="3.625" style="888" customWidth="1"/>
    <col min="3618" max="3618" width="14" style="888" customWidth="1"/>
    <col min="3619" max="3873" width="3.625" style="888" customWidth="1"/>
    <col min="3874" max="3874" width="14" style="888" customWidth="1"/>
    <col min="3875" max="4129" width="3.625" style="888" customWidth="1"/>
    <col min="4130" max="4130" width="14" style="888" customWidth="1"/>
    <col min="4131" max="4385" width="3.625" style="888" customWidth="1"/>
    <col min="4386" max="4386" width="14" style="888" customWidth="1"/>
    <col min="4387" max="4641" width="3.625" style="888" customWidth="1"/>
    <col min="4642" max="4642" width="14" style="888" customWidth="1"/>
    <col min="4643" max="4897" width="3.625" style="888" customWidth="1"/>
    <col min="4898" max="4898" width="14" style="888" customWidth="1"/>
    <col min="4899" max="5153" width="3.625" style="888" customWidth="1"/>
    <col min="5154" max="5154" width="14" style="888" customWidth="1"/>
    <col min="5155" max="5409" width="3.625" style="888" customWidth="1"/>
    <col min="5410" max="5410" width="14" style="888" customWidth="1"/>
    <col min="5411" max="5665" width="3.625" style="888" customWidth="1"/>
    <col min="5666" max="5666" width="14" style="888" customWidth="1"/>
    <col min="5667" max="5921" width="3.625" style="888" customWidth="1"/>
    <col min="5922" max="5922" width="14" style="888" customWidth="1"/>
    <col min="5923" max="6177" width="3.625" style="888" customWidth="1"/>
    <col min="6178" max="6178" width="14" style="888" customWidth="1"/>
    <col min="6179" max="6433" width="3.625" style="888" customWidth="1"/>
    <col min="6434" max="6434" width="14" style="888" customWidth="1"/>
    <col min="6435" max="6689" width="3.625" style="888" customWidth="1"/>
    <col min="6690" max="6690" width="14" style="888" customWidth="1"/>
    <col min="6691" max="6945" width="3.625" style="888" customWidth="1"/>
    <col min="6946" max="6946" width="14" style="888" customWidth="1"/>
    <col min="6947" max="7201" width="3.625" style="888" customWidth="1"/>
    <col min="7202" max="7202" width="14" style="888" customWidth="1"/>
    <col min="7203" max="7457" width="3.625" style="888" customWidth="1"/>
    <col min="7458" max="7458" width="14" style="888" customWidth="1"/>
    <col min="7459" max="7713" width="3.625" style="888" customWidth="1"/>
    <col min="7714" max="7714" width="14" style="888" customWidth="1"/>
    <col min="7715" max="7969" width="3.625" style="888" customWidth="1"/>
    <col min="7970" max="7970" width="14" style="888" customWidth="1"/>
    <col min="7971" max="8225" width="3.625" style="888" customWidth="1"/>
    <col min="8226" max="8226" width="14" style="888" customWidth="1"/>
    <col min="8227" max="8481" width="3.625" style="888" customWidth="1"/>
    <col min="8482" max="8482" width="14" style="888" customWidth="1"/>
    <col min="8483" max="8737" width="3.625" style="888" customWidth="1"/>
    <col min="8738" max="8738" width="14" style="888" customWidth="1"/>
    <col min="8739" max="8993" width="3.625" style="888" customWidth="1"/>
    <col min="8994" max="8994" width="14" style="888" customWidth="1"/>
    <col min="8995" max="9249" width="3.625" style="888" customWidth="1"/>
    <col min="9250" max="9250" width="14" style="888" customWidth="1"/>
    <col min="9251" max="9505" width="3.625" style="888" customWidth="1"/>
    <col min="9506" max="9506" width="14" style="888" customWidth="1"/>
    <col min="9507" max="9761" width="3.625" style="888" customWidth="1"/>
    <col min="9762" max="9762" width="14" style="888" customWidth="1"/>
    <col min="9763" max="10017" width="3.625" style="888" customWidth="1"/>
    <col min="10018" max="10018" width="14" style="888" customWidth="1"/>
    <col min="10019" max="10273" width="3.625" style="888" customWidth="1"/>
    <col min="10274" max="10274" width="14" style="888" customWidth="1"/>
    <col min="10275" max="10529" width="3.625" style="888" customWidth="1"/>
    <col min="10530" max="10530" width="14" style="888" customWidth="1"/>
    <col min="10531" max="10785" width="3.625" style="888" customWidth="1"/>
    <col min="10786" max="10786" width="14" style="888" customWidth="1"/>
    <col min="10787" max="11041" width="3.625" style="888" customWidth="1"/>
    <col min="11042" max="11042" width="14" style="888" customWidth="1"/>
    <col min="11043" max="11297" width="3.625" style="888" customWidth="1"/>
    <col min="11298" max="11298" width="14" style="888" customWidth="1"/>
    <col min="11299" max="11553" width="3.625" style="888" customWidth="1"/>
    <col min="11554" max="11554" width="14" style="888" customWidth="1"/>
    <col min="11555" max="11809" width="3.625" style="888" customWidth="1"/>
    <col min="11810" max="11810" width="14" style="888" customWidth="1"/>
    <col min="11811" max="12065" width="3.625" style="888" customWidth="1"/>
    <col min="12066" max="12066" width="14" style="888" customWidth="1"/>
    <col min="12067" max="12321" width="3.625" style="888" customWidth="1"/>
    <col min="12322" max="12322" width="14" style="888" customWidth="1"/>
    <col min="12323" max="12577" width="3.625" style="888" customWidth="1"/>
    <col min="12578" max="12578" width="14" style="888" customWidth="1"/>
    <col min="12579" max="12833" width="3.625" style="888" customWidth="1"/>
    <col min="12834" max="12834" width="14" style="888" customWidth="1"/>
    <col min="12835" max="13089" width="3.625" style="888" customWidth="1"/>
    <col min="13090" max="13090" width="14" style="888" customWidth="1"/>
    <col min="13091" max="13345" width="3.625" style="888" customWidth="1"/>
    <col min="13346" max="13346" width="14" style="888" customWidth="1"/>
    <col min="13347" max="13601" width="3.625" style="888" customWidth="1"/>
    <col min="13602" max="13602" width="14" style="888" customWidth="1"/>
    <col min="13603" max="13857" width="3.625" style="888" customWidth="1"/>
    <col min="13858" max="13858" width="14" style="888" customWidth="1"/>
    <col min="13859" max="14113" width="3.625" style="888" customWidth="1"/>
    <col min="14114" max="14114" width="14" style="888" customWidth="1"/>
    <col min="14115" max="14369" width="3.625" style="888" customWidth="1"/>
    <col min="14370" max="14370" width="14" style="888" customWidth="1"/>
    <col min="14371" max="14625" width="3.625" style="888" customWidth="1"/>
    <col min="14626" max="14626" width="14" style="888" customWidth="1"/>
    <col min="14627" max="14881" width="3.625" style="888" customWidth="1"/>
    <col min="14882" max="14882" width="14" style="888" customWidth="1"/>
    <col min="14883" max="15137" width="3.625" style="888" customWidth="1"/>
    <col min="15138" max="15138" width="14" style="888" customWidth="1"/>
    <col min="15139" max="15393" width="3.625" style="888" customWidth="1"/>
    <col min="15394" max="15394" width="14" style="888" customWidth="1"/>
    <col min="15395" max="15649" width="3.625" style="888" customWidth="1"/>
    <col min="15650" max="15650" width="14" style="888" customWidth="1"/>
    <col min="15651" max="15905" width="3.625" style="888" customWidth="1"/>
    <col min="15906" max="15906" width="14" style="888" customWidth="1"/>
    <col min="15907" max="16161" width="3.625" style="888" customWidth="1"/>
    <col min="16162" max="16162" width="14" style="888" customWidth="1"/>
    <col min="16163" max="16384" width="3.625" style="888" customWidth="1"/>
  </cols>
  <sheetData>
    <row r="1" spans="1:38" ht="15" customHeight="1">
      <c r="A1" s="888" t="s">
        <v>3569</v>
      </c>
      <c r="AH1" s="889" t="s">
        <v>3093</v>
      </c>
      <c r="AI1" s="889"/>
    </row>
    <row r="2" spans="1:38" ht="15" customHeight="1">
      <c r="AH2" s="890" t="s">
        <v>2845</v>
      </c>
      <c r="AI2" s="889"/>
    </row>
    <row r="3" spans="1:38" ht="15" customHeight="1">
      <c r="AH3" s="891" t="str">
        <f>HYPERLINK("#A1：X54")</f>
        <v>#A1：X54</v>
      </c>
      <c r="AI3" s="892" t="s">
        <v>3466</v>
      </c>
      <c r="AJ3" s="893"/>
      <c r="AK3" s="893"/>
      <c r="AL3" s="893"/>
    </row>
    <row r="4" spans="1:38" ht="15" customHeight="1">
      <c r="A4" s="2009" t="s">
        <v>3570</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AH4" s="891" t="str">
        <f>HYPERLINK("#A55：X108")</f>
        <v>#A55：X108</v>
      </c>
      <c r="AI4" s="894" t="s">
        <v>3467</v>
      </c>
      <c r="AJ4" s="895"/>
      <c r="AK4" s="895"/>
      <c r="AL4" s="895"/>
    </row>
    <row r="5" spans="1:38" ht="15" customHeight="1">
      <c r="A5" s="2009"/>
      <c r="B5" s="2009"/>
      <c r="C5" s="2009"/>
      <c r="D5" s="2009"/>
      <c r="E5" s="2009"/>
      <c r="F5" s="2009"/>
      <c r="G5" s="2009"/>
      <c r="H5" s="2009"/>
      <c r="I5" s="2009"/>
      <c r="J5" s="2009"/>
      <c r="K5" s="2009"/>
      <c r="L5" s="2009"/>
      <c r="M5" s="2009"/>
      <c r="N5" s="2009"/>
      <c r="O5" s="2009"/>
      <c r="P5" s="2009"/>
      <c r="Q5" s="2009"/>
      <c r="R5" s="2009"/>
      <c r="S5" s="2009"/>
      <c r="T5" s="2009"/>
      <c r="U5" s="2009"/>
      <c r="V5" s="2009"/>
      <c r="W5" s="2009"/>
      <c r="X5" s="2009"/>
    </row>
    <row r="6" spans="1:38" ht="15" customHeight="1">
      <c r="A6" s="896"/>
      <c r="B6" s="896"/>
      <c r="C6" s="896"/>
      <c r="D6" s="896"/>
      <c r="E6" s="896"/>
      <c r="F6" s="896"/>
      <c r="G6" s="896"/>
      <c r="H6" s="896"/>
      <c r="I6" s="896"/>
      <c r="J6" s="896"/>
      <c r="K6" s="896"/>
      <c r="L6" s="896"/>
      <c r="M6" s="896"/>
      <c r="N6" s="896"/>
      <c r="O6" s="896"/>
      <c r="P6" s="896"/>
      <c r="Q6" s="896"/>
      <c r="R6" s="896"/>
      <c r="S6" s="896"/>
      <c r="T6" s="896"/>
      <c r="U6" s="896"/>
      <c r="V6" s="896"/>
      <c r="W6" s="896"/>
      <c r="X6" s="896"/>
    </row>
    <row r="7" spans="1:38" ht="15" customHeight="1">
      <c r="Q7" s="2010" t="s">
        <v>3089</v>
      </c>
      <c r="R7" s="2010"/>
      <c r="S7" s="897"/>
      <c r="T7" s="898" t="s">
        <v>371</v>
      </c>
      <c r="U7" s="897"/>
      <c r="V7" s="898" t="s">
        <v>4</v>
      </c>
      <c r="W7" s="897"/>
      <c r="X7" s="898" t="s">
        <v>373</v>
      </c>
    </row>
    <row r="8" spans="1:38" ht="15" customHeight="1">
      <c r="R8" s="899"/>
      <c r="S8" s="898"/>
      <c r="T8" s="898"/>
      <c r="U8" s="898"/>
      <c r="V8" s="898"/>
      <c r="W8" s="898"/>
      <c r="X8" s="898"/>
    </row>
    <row r="9" spans="1:38" ht="15" customHeight="1">
      <c r="A9" s="888" t="str">
        <f ca="1">cst_Pre_Corp__SHINSEI</f>
        <v>一般財団法人　岩手県建築住宅センター</v>
      </c>
    </row>
    <row r="10" spans="1:38" ht="15" customHeight="1">
      <c r="A10" s="888" t="str">
        <f ca="1">"　　"&amp;cst_Pre_Daihyou__SHINSEI&amp;"　様"</f>
        <v>　　理事長　　渡 邊 健 治　様</v>
      </c>
    </row>
    <row r="12" spans="1:38" ht="15" customHeight="1">
      <c r="O12" s="899" t="s">
        <v>3571</v>
      </c>
      <c r="Q12" s="2007"/>
      <c r="R12" s="2007"/>
      <c r="S12" s="2007"/>
      <c r="T12" s="2007"/>
      <c r="U12" s="2007"/>
      <c r="V12" s="2007"/>
      <c r="W12" s="2007"/>
      <c r="X12" s="898" t="s">
        <v>372</v>
      </c>
    </row>
    <row r="13" spans="1:38" ht="15" customHeight="1">
      <c r="Q13" s="2007"/>
      <c r="R13" s="2007"/>
      <c r="S13" s="2007"/>
      <c r="T13" s="2007"/>
      <c r="U13" s="2007"/>
      <c r="V13" s="2007"/>
      <c r="W13" s="2007"/>
    </row>
    <row r="14" spans="1:38" ht="15" customHeight="1">
      <c r="O14" s="899" t="s">
        <v>21</v>
      </c>
      <c r="Q14" s="2007"/>
      <c r="R14" s="2007"/>
      <c r="S14" s="2007"/>
      <c r="T14" s="2007"/>
      <c r="U14" s="2007"/>
      <c r="V14" s="2007"/>
      <c r="W14" s="2007"/>
    </row>
    <row r="15" spans="1:38" ht="15" customHeight="1">
      <c r="Q15" s="2007"/>
      <c r="R15" s="2007"/>
      <c r="S15" s="2007"/>
      <c r="T15" s="2007"/>
      <c r="U15" s="2007"/>
      <c r="V15" s="2007"/>
      <c r="W15" s="2007"/>
    </row>
    <row r="16" spans="1:38" ht="15" customHeight="1">
      <c r="O16" s="899" t="s">
        <v>3572</v>
      </c>
      <c r="Q16" s="2011"/>
      <c r="R16" s="2011"/>
      <c r="S16" s="2011"/>
      <c r="T16" s="2011"/>
      <c r="U16" s="2011"/>
      <c r="V16" s="2011"/>
      <c r="W16" s="2011"/>
    </row>
    <row r="18" spans="1:24" ht="15" customHeight="1">
      <c r="O18" s="899" t="s">
        <v>3573</v>
      </c>
      <c r="Q18" s="2007"/>
      <c r="R18" s="2007"/>
      <c r="S18" s="2007"/>
      <c r="T18" s="2007"/>
      <c r="U18" s="2007"/>
      <c r="V18" s="2007"/>
      <c r="W18" s="2007"/>
      <c r="X18" s="898" t="s">
        <v>3574</v>
      </c>
    </row>
    <row r="19" spans="1:24" ht="15" customHeight="1">
      <c r="Q19" s="2007"/>
      <c r="R19" s="2007"/>
      <c r="S19" s="2007"/>
      <c r="T19" s="2007"/>
      <c r="U19" s="2007"/>
      <c r="V19" s="2007"/>
      <c r="W19" s="2007"/>
      <c r="X19" s="898"/>
    </row>
    <row r="20" spans="1:24" ht="15" customHeight="1">
      <c r="O20" s="899" t="s">
        <v>3575</v>
      </c>
      <c r="Q20" s="2012"/>
      <c r="R20" s="2012"/>
      <c r="S20" s="2012"/>
      <c r="T20" s="2012"/>
      <c r="U20" s="2012"/>
      <c r="V20" s="2012"/>
      <c r="W20" s="2012"/>
      <c r="X20" s="899" t="s">
        <v>3576</v>
      </c>
    </row>
    <row r="23" spans="1:24" ht="15" customHeight="1">
      <c r="O23" s="899"/>
      <c r="X23" s="899"/>
    </row>
    <row r="25" spans="1:24" ht="15" customHeight="1">
      <c r="A25" s="2013" t="s">
        <v>3577</v>
      </c>
      <c r="B25" s="2013"/>
      <c r="C25" s="2013"/>
      <c r="D25" s="2013"/>
      <c r="E25" s="2013"/>
      <c r="F25" s="2013"/>
      <c r="G25" s="2013"/>
      <c r="H25" s="2013"/>
      <c r="I25" s="2013"/>
      <c r="J25" s="2013"/>
      <c r="K25" s="2013"/>
      <c r="L25" s="2013"/>
      <c r="M25" s="2013"/>
      <c r="N25" s="2013"/>
      <c r="O25" s="2013"/>
      <c r="P25" s="2013"/>
      <c r="Q25" s="2013"/>
      <c r="R25" s="2013"/>
      <c r="S25" s="2013"/>
      <c r="T25" s="2013"/>
      <c r="U25" s="2013"/>
      <c r="V25" s="2013"/>
      <c r="W25" s="2013"/>
      <c r="X25" s="2013"/>
    </row>
    <row r="26" spans="1:24" ht="15" customHeight="1">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c r="W26" s="2013"/>
      <c r="X26" s="2013"/>
    </row>
    <row r="28" spans="1:24" ht="15" customHeight="1">
      <c r="A28" s="2014" t="s">
        <v>0</v>
      </c>
      <c r="B28" s="2014"/>
      <c r="C28" s="2014"/>
      <c r="D28" s="2014"/>
      <c r="E28" s="2014"/>
      <c r="F28" s="2014"/>
      <c r="G28" s="2014"/>
      <c r="H28" s="2014"/>
      <c r="I28" s="2014"/>
      <c r="J28" s="2014"/>
      <c r="K28" s="2014"/>
      <c r="L28" s="2014"/>
      <c r="M28" s="2014"/>
      <c r="N28" s="2014"/>
      <c r="O28" s="2014"/>
      <c r="P28" s="2014"/>
      <c r="Q28" s="2014"/>
      <c r="R28" s="2014"/>
      <c r="S28" s="2014"/>
      <c r="T28" s="2014"/>
      <c r="U28" s="2014"/>
      <c r="V28" s="2014"/>
      <c r="W28" s="2014"/>
      <c r="X28" s="2014"/>
    </row>
    <row r="30" spans="1:24" ht="15" customHeight="1">
      <c r="B30" s="888" t="s">
        <v>3578</v>
      </c>
    </row>
    <row r="31" spans="1:24" ht="15" customHeight="1">
      <c r="C31" s="888" t="s">
        <v>3579</v>
      </c>
      <c r="G31" s="900" t="s">
        <v>3089</v>
      </c>
      <c r="H31" s="900"/>
      <c r="I31" s="901"/>
      <c r="J31" s="902" t="s">
        <v>371</v>
      </c>
      <c r="K31" s="901"/>
      <c r="L31" s="902" t="s">
        <v>4</v>
      </c>
      <c r="M31" s="901"/>
      <c r="N31" s="902" t="s">
        <v>373</v>
      </c>
      <c r="O31" s="900"/>
      <c r="P31" s="903" t="s">
        <v>374</v>
      </c>
      <c r="Q31" s="2015"/>
      <c r="R31" s="2015"/>
      <c r="S31" s="2015"/>
      <c r="T31" s="2015"/>
      <c r="U31" s="2015"/>
      <c r="V31" s="2015"/>
      <c r="W31" s="902" t="s">
        <v>375</v>
      </c>
    </row>
    <row r="32" spans="1:24" ht="15" customHeight="1">
      <c r="C32" s="888" t="s">
        <v>3580</v>
      </c>
      <c r="G32" s="900" t="s">
        <v>3089</v>
      </c>
      <c r="H32" s="900"/>
      <c r="I32" s="901"/>
      <c r="J32" s="902" t="s">
        <v>371</v>
      </c>
      <c r="K32" s="901"/>
      <c r="L32" s="902" t="s">
        <v>4</v>
      </c>
      <c r="M32" s="901"/>
      <c r="N32" s="902" t="s">
        <v>373</v>
      </c>
      <c r="O32" s="900"/>
      <c r="P32" s="903" t="s">
        <v>374</v>
      </c>
      <c r="Q32" s="2015"/>
      <c r="R32" s="2015"/>
      <c r="S32" s="2015"/>
      <c r="T32" s="2015"/>
      <c r="U32" s="2015"/>
      <c r="V32" s="2015"/>
      <c r="W32" s="902" t="s">
        <v>375</v>
      </c>
    </row>
    <row r="33" spans="2:23" ht="15" customHeight="1">
      <c r="G33" s="904"/>
      <c r="H33" s="904"/>
      <c r="I33" s="904"/>
      <c r="J33" s="904"/>
      <c r="K33" s="904"/>
      <c r="L33" s="904"/>
      <c r="M33" s="904"/>
      <c r="N33" s="904"/>
      <c r="O33" s="904"/>
      <c r="P33" s="904"/>
      <c r="Q33" s="904"/>
      <c r="R33" s="904"/>
      <c r="S33" s="904"/>
      <c r="T33" s="904"/>
      <c r="U33" s="904"/>
      <c r="V33" s="904"/>
      <c r="W33" s="898"/>
    </row>
    <row r="34" spans="2:23" ht="15" customHeight="1">
      <c r="B34" s="888" t="s">
        <v>3581</v>
      </c>
    </row>
    <row r="35" spans="2:23" ht="15" customHeight="1">
      <c r="D35" s="2007"/>
      <c r="E35" s="2007"/>
      <c r="F35" s="2007"/>
      <c r="G35" s="2007"/>
      <c r="H35" s="2007"/>
      <c r="I35" s="2007"/>
      <c r="J35" s="2007"/>
      <c r="K35" s="2007"/>
      <c r="L35" s="2007"/>
      <c r="M35" s="2007"/>
      <c r="N35" s="2007"/>
      <c r="O35" s="2007"/>
      <c r="P35" s="2007"/>
      <c r="Q35" s="2007"/>
      <c r="R35" s="2007"/>
      <c r="S35" s="2007"/>
      <c r="T35" s="2007"/>
      <c r="U35" s="2007"/>
      <c r="V35" s="2007"/>
      <c r="W35" s="2007"/>
    </row>
    <row r="36" spans="2:23" ht="15" customHeight="1">
      <c r="D36" s="2008"/>
      <c r="E36" s="2008"/>
      <c r="F36" s="2008"/>
      <c r="G36" s="2008"/>
      <c r="H36" s="2008"/>
      <c r="I36" s="2008"/>
      <c r="J36" s="2008"/>
      <c r="K36" s="2008"/>
      <c r="L36" s="2008"/>
      <c r="M36" s="2008"/>
      <c r="N36" s="2008"/>
      <c r="O36" s="2008"/>
      <c r="P36" s="2008"/>
      <c r="Q36" s="2008"/>
      <c r="R36" s="2008"/>
      <c r="S36" s="2008"/>
      <c r="T36" s="2008"/>
      <c r="U36" s="2008"/>
      <c r="V36" s="2008"/>
      <c r="W36" s="2008"/>
    </row>
    <row r="38" spans="2:23" ht="15" customHeight="1">
      <c r="B38" s="888" t="s">
        <v>3582</v>
      </c>
    </row>
    <row r="39" spans="2:23" ht="15" customHeight="1">
      <c r="C39" s="888" t="s">
        <v>3579</v>
      </c>
      <c r="H39" s="905"/>
      <c r="I39" s="888" t="s">
        <v>3583</v>
      </c>
    </row>
    <row r="40" spans="2:23" ht="15" customHeight="1">
      <c r="C40" s="888" t="s">
        <v>3580</v>
      </c>
      <c r="H40" s="905"/>
      <c r="I40" s="888" t="s">
        <v>3583</v>
      </c>
    </row>
    <row r="42" spans="2:23" ht="15" customHeight="1">
      <c r="B42" s="888" t="s">
        <v>3584</v>
      </c>
    </row>
    <row r="43" spans="2:23" ht="15" customHeight="1">
      <c r="D43" s="2016"/>
      <c r="E43" s="2016"/>
      <c r="F43" s="2016"/>
      <c r="G43" s="2016"/>
      <c r="H43" s="2016"/>
      <c r="I43" s="2016"/>
      <c r="J43" s="2016"/>
      <c r="K43" s="2016"/>
      <c r="L43" s="2016"/>
      <c r="M43" s="2016"/>
      <c r="N43" s="2016"/>
      <c r="O43" s="2016"/>
      <c r="P43" s="2016"/>
      <c r="Q43" s="2016"/>
      <c r="R43" s="2016"/>
      <c r="S43" s="2016"/>
      <c r="T43" s="2016"/>
      <c r="U43" s="2016"/>
      <c r="V43" s="2016"/>
      <c r="W43" s="2016"/>
    </row>
    <row r="44" spans="2:23" ht="15" customHeight="1">
      <c r="D44" s="2016"/>
      <c r="E44" s="2016"/>
      <c r="F44" s="2016"/>
      <c r="G44" s="2016"/>
      <c r="H44" s="2016"/>
      <c r="I44" s="2016"/>
      <c r="J44" s="2016"/>
      <c r="K44" s="2016"/>
      <c r="L44" s="2016"/>
      <c r="M44" s="2016"/>
      <c r="N44" s="2016"/>
      <c r="O44" s="2016"/>
      <c r="P44" s="2016"/>
      <c r="Q44" s="2016"/>
      <c r="R44" s="2016"/>
      <c r="S44" s="2016"/>
      <c r="T44" s="2016"/>
      <c r="U44" s="2016"/>
      <c r="V44" s="2016"/>
      <c r="W44" s="2016"/>
    </row>
    <row r="45" spans="2:23" ht="15" customHeight="1">
      <c r="D45" s="2017"/>
      <c r="E45" s="2017"/>
      <c r="F45" s="2017"/>
      <c r="G45" s="2017"/>
      <c r="H45" s="2017"/>
      <c r="I45" s="2017"/>
      <c r="J45" s="2017"/>
      <c r="K45" s="2017"/>
      <c r="L45" s="2017"/>
      <c r="M45" s="2017"/>
      <c r="N45" s="2017"/>
      <c r="O45" s="2017"/>
      <c r="P45" s="2017"/>
      <c r="Q45" s="2017"/>
      <c r="R45" s="2017"/>
      <c r="S45" s="2017"/>
      <c r="T45" s="2017"/>
      <c r="U45" s="2017"/>
      <c r="V45" s="2017"/>
      <c r="W45" s="2017"/>
    </row>
    <row r="51" spans="1:38" ht="15" customHeight="1">
      <c r="A51" s="898" t="s">
        <v>417</v>
      </c>
      <c r="B51" s="2018" t="s">
        <v>3585</v>
      </c>
      <c r="C51" s="2018"/>
      <c r="D51" s="2018"/>
      <c r="E51" s="2018"/>
      <c r="F51" s="2018"/>
      <c r="G51" s="2018"/>
      <c r="H51" s="2018"/>
      <c r="I51" s="2018"/>
      <c r="J51" s="2018"/>
      <c r="K51" s="2018"/>
      <c r="L51" s="2018"/>
      <c r="M51" s="2018"/>
      <c r="N51" s="2018"/>
      <c r="O51" s="2018"/>
      <c r="P51" s="2018"/>
      <c r="Q51" s="2018"/>
      <c r="R51" s="2018"/>
      <c r="S51" s="2018"/>
      <c r="T51" s="2018"/>
      <c r="U51" s="2018"/>
      <c r="V51" s="2018"/>
      <c r="W51" s="2018"/>
      <c r="X51" s="2018"/>
    </row>
    <row r="52" spans="1:38" ht="15" customHeight="1">
      <c r="B52" s="2018"/>
      <c r="C52" s="2018"/>
      <c r="D52" s="2018"/>
      <c r="E52" s="2018"/>
      <c r="F52" s="2018"/>
      <c r="G52" s="2018"/>
      <c r="H52" s="2018"/>
      <c r="I52" s="2018"/>
      <c r="J52" s="2018"/>
      <c r="K52" s="2018"/>
      <c r="L52" s="2018"/>
      <c r="M52" s="2018"/>
      <c r="N52" s="2018"/>
      <c r="O52" s="2018"/>
      <c r="P52" s="2018"/>
      <c r="Q52" s="2018"/>
      <c r="R52" s="2018"/>
      <c r="S52" s="2018"/>
      <c r="T52" s="2018"/>
      <c r="U52" s="2018"/>
      <c r="V52" s="2018"/>
      <c r="W52" s="2018"/>
      <c r="X52" s="2018"/>
    </row>
    <row r="53" spans="1:38" s="906" customFormat="1" ht="15" customHeight="1">
      <c r="B53" s="2018"/>
      <c r="C53" s="2018"/>
      <c r="D53" s="2018"/>
      <c r="E53" s="2018"/>
      <c r="F53" s="2018"/>
      <c r="G53" s="2018"/>
      <c r="H53" s="2018"/>
      <c r="I53" s="2018"/>
      <c r="J53" s="2018"/>
      <c r="K53" s="2018"/>
      <c r="L53" s="2018"/>
      <c r="M53" s="2018"/>
      <c r="N53" s="2018"/>
      <c r="O53" s="2018"/>
      <c r="P53" s="2018"/>
      <c r="Q53" s="2018"/>
      <c r="R53" s="2018"/>
      <c r="S53" s="2018"/>
      <c r="T53" s="2018"/>
      <c r="U53" s="2018"/>
      <c r="V53" s="2018"/>
      <c r="W53" s="2018"/>
      <c r="X53" s="2018"/>
      <c r="AH53" s="888"/>
      <c r="AI53" s="888"/>
      <c r="AJ53" s="888"/>
      <c r="AK53" s="888"/>
      <c r="AL53" s="888"/>
    </row>
    <row r="54" spans="1:38" s="906" customFormat="1" ht="15" customHeight="1">
      <c r="B54" s="2018"/>
      <c r="C54" s="2018"/>
      <c r="D54" s="2018"/>
      <c r="E54" s="2018"/>
      <c r="F54" s="2018"/>
      <c r="G54" s="2018"/>
      <c r="H54" s="2018"/>
      <c r="I54" s="2018"/>
      <c r="J54" s="2018"/>
      <c r="K54" s="2018"/>
      <c r="L54" s="2018"/>
      <c r="M54" s="2018"/>
      <c r="N54" s="2018"/>
      <c r="O54" s="2018"/>
      <c r="P54" s="2018"/>
      <c r="Q54" s="2018"/>
      <c r="R54" s="2018"/>
      <c r="S54" s="2018"/>
      <c r="T54" s="2018"/>
      <c r="U54" s="2018"/>
      <c r="V54" s="2018"/>
      <c r="W54" s="2018"/>
      <c r="X54" s="2018"/>
    </row>
    <row r="55" spans="1:38" ht="15" customHeight="1">
      <c r="A55" s="888" t="s">
        <v>3457</v>
      </c>
      <c r="AH55" s="889" t="s">
        <v>3093</v>
      </c>
      <c r="AI55" s="889"/>
    </row>
    <row r="56" spans="1:38" ht="15" customHeight="1">
      <c r="B56" s="888" t="s">
        <v>3476</v>
      </c>
      <c r="AH56" s="890" t="s">
        <v>2845</v>
      </c>
      <c r="AI56" s="889"/>
    </row>
    <row r="57" spans="1:38" ht="15" customHeight="1">
      <c r="AH57" s="891" t="str">
        <f>HYPERLINK("#A1：X54")</f>
        <v>#A1：X54</v>
      </c>
      <c r="AI57" s="892" t="s">
        <v>3466</v>
      </c>
      <c r="AJ57" s="893"/>
      <c r="AK57" s="893"/>
      <c r="AL57" s="893"/>
    </row>
    <row r="58" spans="1:38" ht="15" customHeight="1">
      <c r="B58" s="888" t="s">
        <v>3477</v>
      </c>
      <c r="F58" s="2019"/>
      <c r="G58" s="2019"/>
      <c r="H58" s="2019"/>
      <c r="I58" s="2019"/>
      <c r="J58" s="2019"/>
      <c r="K58" s="2019"/>
      <c r="L58" s="2019"/>
      <c r="M58" s="2019"/>
      <c r="N58" s="2019"/>
      <c r="O58" s="2019"/>
      <c r="P58" s="2019"/>
      <c r="Q58" s="2019"/>
      <c r="R58" s="2019"/>
      <c r="S58" s="2019"/>
      <c r="T58" s="2019"/>
      <c r="U58" s="2019"/>
      <c r="V58" s="2019"/>
      <c r="W58" s="2019"/>
      <c r="AH58" s="891" t="str">
        <f>HYPERLINK("#A55：X108")</f>
        <v>#A55：X108</v>
      </c>
      <c r="AI58" s="894" t="s">
        <v>3467</v>
      </c>
      <c r="AJ58" s="895"/>
      <c r="AK58" s="895"/>
      <c r="AL58" s="895"/>
    </row>
    <row r="59" spans="1:38" ht="15" customHeight="1">
      <c r="B59" s="888" t="s">
        <v>3478</v>
      </c>
      <c r="F59" s="2020"/>
      <c r="G59" s="2020"/>
      <c r="H59" s="2020"/>
      <c r="I59" s="2020"/>
      <c r="J59" s="2020"/>
      <c r="K59" s="2020"/>
      <c r="L59" s="2020"/>
      <c r="M59" s="2020"/>
      <c r="N59" s="2020"/>
      <c r="O59" s="2020"/>
      <c r="P59" s="2020"/>
      <c r="Q59" s="2020"/>
      <c r="R59" s="2020"/>
      <c r="S59" s="2020"/>
      <c r="T59" s="2020"/>
      <c r="U59" s="2020"/>
      <c r="V59" s="2020"/>
      <c r="W59" s="2020"/>
    </row>
    <row r="60" spans="1:38" ht="15" customHeight="1">
      <c r="B60" s="888" t="s">
        <v>3479</v>
      </c>
      <c r="F60" s="2016"/>
      <c r="G60" s="2016"/>
      <c r="H60" s="2016"/>
      <c r="I60" s="2016"/>
      <c r="J60" s="2016"/>
      <c r="K60" s="2016"/>
      <c r="L60" s="2016"/>
      <c r="M60" s="2016"/>
      <c r="N60" s="2016"/>
      <c r="O60" s="2016"/>
      <c r="P60" s="2016"/>
      <c r="Q60" s="2016"/>
      <c r="R60" s="2016"/>
      <c r="S60" s="2016"/>
      <c r="T60" s="2016"/>
      <c r="U60" s="2016"/>
      <c r="V60" s="2016"/>
      <c r="W60" s="2016"/>
      <c r="AH60" s="906"/>
      <c r="AI60" s="906"/>
      <c r="AJ60" s="906"/>
      <c r="AK60" s="906"/>
      <c r="AL60" s="906"/>
    </row>
    <row r="61" spans="1:38" ht="15" customHeight="1">
      <c r="F61" s="2016"/>
      <c r="G61" s="2016"/>
      <c r="H61" s="2016"/>
      <c r="I61" s="2016"/>
      <c r="J61" s="2016"/>
      <c r="K61" s="2016"/>
      <c r="L61" s="2016"/>
      <c r="M61" s="2016"/>
      <c r="N61" s="2016"/>
      <c r="O61" s="2016"/>
      <c r="P61" s="2016"/>
      <c r="Q61" s="2016"/>
      <c r="R61" s="2016"/>
      <c r="S61" s="2016"/>
      <c r="T61" s="2016"/>
      <c r="U61" s="2016"/>
      <c r="V61" s="2016"/>
      <c r="W61" s="2016"/>
      <c r="AH61" s="906"/>
      <c r="AI61" s="906"/>
      <c r="AJ61" s="906"/>
      <c r="AK61" s="906"/>
      <c r="AL61" s="906"/>
    </row>
    <row r="62" spans="1:38" s="906" customFormat="1" ht="15" customHeight="1"/>
    <row r="63" spans="1:38" s="906" customFormat="1" ht="15" customHeight="1"/>
    <row r="64" spans="1:38" s="906" customFormat="1" ht="15" customHeight="1"/>
    <row r="65" spans="34:38" s="906" customFormat="1" ht="15" customHeight="1"/>
    <row r="66" spans="34:38" s="906" customFormat="1" ht="15" customHeight="1"/>
    <row r="67" spans="34:38" s="906" customFormat="1" ht="15" customHeight="1"/>
    <row r="68" spans="34:38" s="906" customFormat="1" ht="15" customHeight="1"/>
    <row r="69" spans="34:38" s="906" customFormat="1" ht="15" customHeight="1"/>
    <row r="70" spans="34:38" s="906" customFormat="1" ht="15" customHeight="1"/>
    <row r="71" spans="34:38" s="906" customFormat="1" ht="15" customHeight="1"/>
    <row r="72" spans="34:38" s="906" customFormat="1" ht="15" customHeight="1"/>
    <row r="73" spans="34:38" s="906" customFormat="1" ht="15" customHeight="1"/>
    <row r="74" spans="34:38" s="906" customFormat="1" ht="15" customHeight="1"/>
    <row r="75" spans="34:38" s="906" customFormat="1" ht="15" customHeight="1"/>
    <row r="76" spans="34:38" s="906" customFormat="1" ht="15" customHeight="1"/>
    <row r="77" spans="34:38" s="906" customFormat="1" ht="15" customHeight="1"/>
    <row r="78" spans="34:38" ht="15" customHeight="1">
      <c r="AH78" s="906"/>
      <c r="AI78" s="906"/>
      <c r="AJ78" s="906"/>
      <c r="AK78" s="906"/>
      <c r="AL78" s="906"/>
    </row>
    <row r="79" spans="34:38" ht="15" customHeight="1">
      <c r="AH79" s="906"/>
      <c r="AI79" s="906"/>
      <c r="AJ79" s="906"/>
      <c r="AK79" s="906"/>
      <c r="AL79" s="906"/>
    </row>
    <row r="80" spans="34:38" ht="15" customHeight="1">
      <c r="AH80" s="906"/>
      <c r="AI80" s="906"/>
      <c r="AJ80" s="906"/>
      <c r="AK80" s="906"/>
      <c r="AL80" s="906"/>
    </row>
    <row r="81" spans="34:38" ht="15" customHeight="1">
      <c r="AH81" s="906"/>
      <c r="AI81" s="906"/>
      <c r="AJ81" s="906"/>
      <c r="AK81" s="906"/>
      <c r="AL81" s="906"/>
    </row>
    <row r="82" spans="34:38" ht="15" customHeight="1">
      <c r="AH82" s="906"/>
      <c r="AI82" s="906"/>
      <c r="AJ82" s="906"/>
      <c r="AK82" s="906"/>
      <c r="AL82" s="906"/>
    </row>
    <row r="83" spans="34:38" ht="15" customHeight="1">
      <c r="AH83" s="906"/>
      <c r="AI83" s="906"/>
      <c r="AJ83" s="906"/>
      <c r="AK83" s="906"/>
      <c r="AL83" s="906"/>
    </row>
    <row r="84" spans="34:38" ht="15" customHeight="1">
      <c r="AH84" s="906"/>
      <c r="AI84" s="906"/>
      <c r="AJ84" s="906"/>
      <c r="AK84" s="906"/>
      <c r="AL84" s="906"/>
    </row>
    <row r="85" spans="34:38" ht="15" customHeight="1">
      <c r="AH85" s="906"/>
      <c r="AI85" s="906"/>
      <c r="AJ85" s="906"/>
      <c r="AK85" s="906"/>
      <c r="AL85" s="906"/>
    </row>
    <row r="86" spans="34:38" ht="15" customHeight="1">
      <c r="AH86" s="906"/>
      <c r="AI86" s="906"/>
      <c r="AJ86" s="906"/>
      <c r="AK86" s="906"/>
      <c r="AL86" s="906"/>
    </row>
    <row r="87" spans="34:38" ht="15" customHeight="1">
      <c r="AH87" s="906"/>
      <c r="AI87" s="906"/>
      <c r="AJ87" s="906"/>
      <c r="AK87" s="906"/>
      <c r="AL87" s="906"/>
    </row>
    <row r="88" spans="34:38" ht="15" customHeight="1">
      <c r="AH88" s="906"/>
      <c r="AI88" s="906"/>
      <c r="AJ88" s="906"/>
      <c r="AK88" s="906"/>
      <c r="AL88" s="906"/>
    </row>
    <row r="89" spans="34:38" ht="15" customHeight="1">
      <c r="AH89" s="906"/>
      <c r="AI89" s="906"/>
      <c r="AJ89" s="906"/>
      <c r="AK89" s="906"/>
      <c r="AL89" s="906"/>
    </row>
    <row r="90" spans="34:38" ht="15" customHeight="1">
      <c r="AH90" s="906"/>
      <c r="AI90" s="906"/>
      <c r="AJ90" s="906"/>
      <c r="AK90" s="906"/>
      <c r="AL90" s="906"/>
    </row>
    <row r="91" spans="34:38" ht="15" customHeight="1">
      <c r="AH91" s="906"/>
      <c r="AI91" s="906"/>
      <c r="AJ91" s="906"/>
      <c r="AK91" s="906"/>
      <c r="AL91" s="906"/>
    </row>
    <row r="92" spans="34:38" ht="15" customHeight="1">
      <c r="AH92" s="906"/>
      <c r="AI92" s="906"/>
      <c r="AJ92" s="906"/>
      <c r="AK92" s="906"/>
      <c r="AL92" s="906"/>
    </row>
    <row r="93" spans="34:38" ht="15" customHeight="1">
      <c r="AH93" s="906"/>
      <c r="AI93" s="906"/>
      <c r="AJ93" s="906"/>
      <c r="AK93" s="906"/>
      <c r="AL93" s="906"/>
    </row>
    <row r="94" spans="34:38" ht="15" customHeight="1">
      <c r="AH94" s="906"/>
      <c r="AI94" s="906"/>
      <c r="AJ94" s="906"/>
      <c r="AK94" s="906"/>
      <c r="AL94" s="906"/>
    </row>
    <row r="95" spans="34:38" ht="15" customHeight="1">
      <c r="AH95" s="906"/>
      <c r="AI95" s="906"/>
      <c r="AJ95" s="906"/>
      <c r="AK95" s="906"/>
      <c r="AL95" s="906"/>
    </row>
    <row r="96" spans="34:38" ht="15" customHeight="1">
      <c r="AH96" s="906"/>
      <c r="AI96" s="906"/>
      <c r="AJ96" s="906"/>
      <c r="AK96" s="906"/>
      <c r="AL96" s="906"/>
    </row>
    <row r="97" spans="34:38" ht="15" customHeight="1">
      <c r="AH97" s="906"/>
      <c r="AI97" s="906"/>
      <c r="AJ97" s="906"/>
      <c r="AK97" s="906"/>
      <c r="AL97" s="906"/>
    </row>
    <row r="98" spans="34:38" ht="15" customHeight="1">
      <c r="AH98" s="906"/>
      <c r="AI98" s="906"/>
      <c r="AJ98" s="906"/>
      <c r="AK98" s="906"/>
      <c r="AL98" s="906"/>
    </row>
    <row r="99" spans="34:38" ht="15" customHeight="1">
      <c r="AH99" s="906"/>
      <c r="AI99" s="906"/>
      <c r="AJ99" s="906"/>
      <c r="AK99" s="906"/>
      <c r="AL99" s="906"/>
    </row>
    <row r="100" spans="34:38" ht="15" customHeight="1">
      <c r="AH100" s="906"/>
      <c r="AI100" s="906"/>
      <c r="AJ100" s="906"/>
      <c r="AK100" s="906"/>
      <c r="AL100" s="906"/>
    </row>
    <row r="101" spans="34:38" ht="15" customHeight="1">
      <c r="AH101" s="906"/>
      <c r="AI101" s="906"/>
      <c r="AJ101" s="906"/>
      <c r="AK101" s="906"/>
      <c r="AL101" s="906"/>
    </row>
    <row r="102" spans="34:38" ht="15" customHeight="1">
      <c r="AH102" s="906"/>
      <c r="AI102" s="906"/>
      <c r="AJ102" s="906"/>
      <c r="AK102" s="906"/>
      <c r="AL102" s="906"/>
    </row>
    <row r="103" spans="34:38" ht="15" customHeight="1">
      <c r="AH103" s="906"/>
      <c r="AI103" s="906"/>
      <c r="AJ103" s="906"/>
      <c r="AK103" s="906"/>
      <c r="AL103" s="906"/>
    </row>
    <row r="104" spans="34:38" ht="15" customHeight="1">
      <c r="AH104" s="906"/>
      <c r="AI104" s="906"/>
      <c r="AJ104" s="906"/>
      <c r="AK104" s="906"/>
      <c r="AL104" s="906"/>
    </row>
    <row r="105" spans="34:38" ht="15" customHeight="1">
      <c r="AH105" s="906"/>
      <c r="AI105" s="906"/>
      <c r="AJ105" s="906"/>
      <c r="AK105" s="906"/>
      <c r="AL105" s="906"/>
    </row>
    <row r="106" spans="34:38" ht="15" customHeight="1">
      <c r="AH106" s="906"/>
      <c r="AI106" s="906"/>
      <c r="AJ106" s="906"/>
      <c r="AK106" s="906"/>
      <c r="AL106" s="906"/>
    </row>
    <row r="107" spans="34:38" ht="15" customHeight="1">
      <c r="AH107" s="906"/>
      <c r="AI107" s="906"/>
      <c r="AJ107" s="906"/>
      <c r="AK107" s="906"/>
      <c r="AL107" s="906"/>
    </row>
    <row r="114" spans="34:38" ht="15" customHeight="1">
      <c r="AH114" s="906"/>
      <c r="AI114" s="906"/>
      <c r="AJ114" s="906"/>
      <c r="AK114" s="906"/>
      <c r="AL114" s="906"/>
    </row>
    <row r="115" spans="34:38" ht="15" customHeight="1">
      <c r="AH115" s="906"/>
      <c r="AI115" s="906"/>
      <c r="AJ115" s="906"/>
      <c r="AK115" s="906"/>
      <c r="AL115" s="906"/>
    </row>
    <row r="116" spans="34:38" ht="15" customHeight="1">
      <c r="AH116" s="906"/>
      <c r="AI116" s="906"/>
      <c r="AJ116" s="906"/>
      <c r="AK116" s="906"/>
      <c r="AL116" s="906"/>
    </row>
    <row r="117" spans="34:38" ht="15" customHeight="1">
      <c r="AH117" s="906"/>
      <c r="AI117" s="906"/>
      <c r="AJ117" s="906"/>
      <c r="AK117" s="906"/>
      <c r="AL117" s="906"/>
    </row>
    <row r="118" spans="34:38" ht="15" customHeight="1">
      <c r="AH118" s="906"/>
      <c r="AI118" s="906"/>
      <c r="AJ118" s="906"/>
      <c r="AK118" s="906"/>
      <c r="AL118" s="906"/>
    </row>
    <row r="119" spans="34:38" ht="15" customHeight="1">
      <c r="AH119" s="906"/>
      <c r="AI119" s="906"/>
      <c r="AJ119" s="906"/>
      <c r="AK119" s="906"/>
      <c r="AL119" s="906"/>
    </row>
    <row r="120" spans="34:38" ht="15" customHeight="1">
      <c r="AH120" s="906"/>
      <c r="AI120" s="906"/>
      <c r="AJ120" s="906"/>
      <c r="AK120" s="906"/>
      <c r="AL120" s="906"/>
    </row>
    <row r="121" spans="34:38" ht="15" customHeight="1">
      <c r="AH121" s="906"/>
      <c r="AI121" s="906"/>
      <c r="AJ121" s="906"/>
      <c r="AK121" s="906"/>
      <c r="AL121" s="906"/>
    </row>
    <row r="122" spans="34:38" ht="15" customHeight="1">
      <c r="AH122" s="906"/>
      <c r="AI122" s="906"/>
      <c r="AJ122" s="906"/>
      <c r="AK122" s="906"/>
      <c r="AL122" s="906"/>
    </row>
    <row r="123" spans="34:38" ht="15" customHeight="1">
      <c r="AH123" s="906"/>
      <c r="AI123" s="906"/>
      <c r="AJ123" s="906"/>
      <c r="AK123" s="906"/>
      <c r="AL123" s="906"/>
    </row>
  </sheetData>
  <mergeCells count="17">
    <mergeCell ref="D43:W45"/>
    <mergeCell ref="B51:X54"/>
    <mergeCell ref="F58:W58"/>
    <mergeCell ref="F59:W59"/>
    <mergeCell ref="F60:W61"/>
    <mergeCell ref="D35:W36"/>
    <mergeCell ref="A4:X5"/>
    <mergeCell ref="Q7:R7"/>
    <mergeCell ref="Q12:W13"/>
    <mergeCell ref="Q14:W15"/>
    <mergeCell ref="Q16:W16"/>
    <mergeCell ref="Q18:W19"/>
    <mergeCell ref="Q20:W20"/>
    <mergeCell ref="A25:X26"/>
    <mergeCell ref="A28:X28"/>
    <mergeCell ref="Q31:V31"/>
    <mergeCell ref="Q32:V32"/>
  </mergeCells>
  <phoneticPr fontId="139"/>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D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I65567:I65568 JE65567:JE65568 TA65567:TA65568 ACW65567:ACW65568 AMS65567:AMS65568 AWO65567:AWO65568 BGK65567:BGK65568 BQG65567:BQG65568 CAC65567:CAC65568 CJY65567:CJY65568 CTU65567:CTU65568 DDQ65567:DDQ65568 DNM65567:DNM65568 DXI65567:DXI65568 EHE65567:EHE65568 ERA65567:ERA65568 FAW65567:FAW65568 FKS65567:FKS65568 FUO65567:FUO65568 GEK65567:GEK65568 GOG65567:GOG65568 GYC65567:GYC65568 HHY65567:HHY65568 HRU65567:HRU65568 IBQ65567:IBQ65568 ILM65567:ILM65568 IVI65567:IVI65568 JFE65567:JFE65568 JPA65567:JPA65568 JYW65567:JYW65568 KIS65567:KIS65568 KSO65567:KSO65568 LCK65567:LCK65568 LMG65567:LMG65568 LWC65567:LWC65568 MFY65567:MFY65568 MPU65567:MPU65568 MZQ65567:MZQ65568 NJM65567:NJM65568 NTI65567:NTI65568 ODE65567:ODE65568 ONA65567:ONA65568 OWW65567:OWW65568 PGS65567:PGS65568 PQO65567:PQO65568 QAK65567:QAK65568 QKG65567:QKG65568 QUC65567:QUC65568 RDY65567:RDY65568 RNU65567:RNU65568 RXQ65567:RXQ65568 SHM65567:SHM65568 SRI65567:SRI65568 TBE65567:TBE65568 TLA65567:TLA65568 TUW65567:TUW65568 UES65567:UES65568 UOO65567:UOO65568 UYK65567:UYK65568 VIG65567:VIG65568 VSC65567:VSC65568 WBY65567:WBY65568 WLU65567:WLU65568 WVQ65567:WVQ65568 I131103:I131104 JE131103:JE131104 TA131103:TA131104 ACW131103:ACW131104 AMS131103:AMS131104 AWO131103:AWO131104 BGK131103:BGK131104 BQG131103:BQG131104 CAC131103:CAC131104 CJY131103:CJY131104 CTU131103:CTU131104 DDQ131103:DDQ131104 DNM131103:DNM131104 DXI131103:DXI131104 EHE131103:EHE131104 ERA131103:ERA131104 FAW131103:FAW131104 FKS131103:FKS131104 FUO131103:FUO131104 GEK131103:GEK131104 GOG131103:GOG131104 GYC131103:GYC131104 HHY131103:HHY131104 HRU131103:HRU131104 IBQ131103:IBQ131104 ILM131103:ILM131104 IVI131103:IVI131104 JFE131103:JFE131104 JPA131103:JPA131104 JYW131103:JYW131104 KIS131103:KIS131104 KSO131103:KSO131104 LCK131103:LCK131104 LMG131103:LMG131104 LWC131103:LWC131104 MFY131103:MFY131104 MPU131103:MPU131104 MZQ131103:MZQ131104 NJM131103:NJM131104 NTI131103:NTI131104 ODE131103:ODE131104 ONA131103:ONA131104 OWW131103:OWW131104 PGS131103:PGS131104 PQO131103:PQO131104 QAK131103:QAK131104 QKG131103:QKG131104 QUC131103:QUC131104 RDY131103:RDY131104 RNU131103:RNU131104 RXQ131103:RXQ131104 SHM131103:SHM131104 SRI131103:SRI131104 TBE131103:TBE131104 TLA131103:TLA131104 TUW131103:TUW131104 UES131103:UES131104 UOO131103:UOO131104 UYK131103:UYK131104 VIG131103:VIG131104 VSC131103:VSC131104 WBY131103:WBY131104 WLU131103:WLU131104 WVQ131103:WVQ131104 I196639:I196640 JE196639:JE196640 TA196639:TA196640 ACW196639:ACW196640 AMS196639:AMS196640 AWO196639:AWO196640 BGK196639:BGK196640 BQG196639:BQG196640 CAC196639:CAC196640 CJY196639:CJY196640 CTU196639:CTU196640 DDQ196639:DDQ196640 DNM196639:DNM196640 DXI196639:DXI196640 EHE196639:EHE196640 ERA196639:ERA196640 FAW196639:FAW196640 FKS196639:FKS196640 FUO196639:FUO196640 GEK196639:GEK196640 GOG196639:GOG196640 GYC196639:GYC196640 HHY196639:HHY196640 HRU196639:HRU196640 IBQ196639:IBQ196640 ILM196639:ILM196640 IVI196639:IVI196640 JFE196639:JFE196640 JPA196639:JPA196640 JYW196639:JYW196640 KIS196639:KIS196640 KSO196639:KSO196640 LCK196639:LCK196640 LMG196639:LMG196640 LWC196639:LWC196640 MFY196639:MFY196640 MPU196639:MPU196640 MZQ196639:MZQ196640 NJM196639:NJM196640 NTI196639:NTI196640 ODE196639:ODE196640 ONA196639:ONA196640 OWW196639:OWW196640 PGS196639:PGS196640 PQO196639:PQO196640 QAK196639:QAK196640 QKG196639:QKG196640 QUC196639:QUC196640 RDY196639:RDY196640 RNU196639:RNU196640 RXQ196639:RXQ196640 SHM196639:SHM196640 SRI196639:SRI196640 TBE196639:TBE196640 TLA196639:TLA196640 TUW196639:TUW196640 UES196639:UES196640 UOO196639:UOO196640 UYK196639:UYK196640 VIG196639:VIG196640 VSC196639:VSC196640 WBY196639:WBY196640 WLU196639:WLU196640 WVQ196639:WVQ196640 I262175:I262176 JE262175:JE262176 TA262175:TA262176 ACW262175:ACW262176 AMS262175:AMS262176 AWO262175:AWO262176 BGK262175:BGK262176 BQG262175:BQG262176 CAC262175:CAC262176 CJY262175:CJY262176 CTU262175:CTU262176 DDQ262175:DDQ262176 DNM262175:DNM262176 DXI262175:DXI262176 EHE262175:EHE262176 ERA262175:ERA262176 FAW262175:FAW262176 FKS262175:FKS262176 FUO262175:FUO262176 GEK262175:GEK262176 GOG262175:GOG262176 GYC262175:GYC262176 HHY262175:HHY262176 HRU262175:HRU262176 IBQ262175:IBQ262176 ILM262175:ILM262176 IVI262175:IVI262176 JFE262175:JFE262176 JPA262175:JPA262176 JYW262175:JYW262176 KIS262175:KIS262176 KSO262175:KSO262176 LCK262175:LCK262176 LMG262175:LMG262176 LWC262175:LWC262176 MFY262175:MFY262176 MPU262175:MPU262176 MZQ262175:MZQ262176 NJM262175:NJM262176 NTI262175:NTI262176 ODE262175:ODE262176 ONA262175:ONA262176 OWW262175:OWW262176 PGS262175:PGS262176 PQO262175:PQO262176 QAK262175:QAK262176 QKG262175:QKG262176 QUC262175:QUC262176 RDY262175:RDY262176 RNU262175:RNU262176 RXQ262175:RXQ262176 SHM262175:SHM262176 SRI262175:SRI262176 TBE262175:TBE262176 TLA262175:TLA262176 TUW262175:TUW262176 UES262175:UES262176 UOO262175:UOO262176 UYK262175:UYK262176 VIG262175:VIG262176 VSC262175:VSC262176 WBY262175:WBY262176 WLU262175:WLU262176 WVQ262175:WVQ262176 I327711:I327712 JE327711:JE327712 TA327711:TA327712 ACW327711:ACW327712 AMS327711:AMS327712 AWO327711:AWO327712 BGK327711:BGK327712 BQG327711:BQG327712 CAC327711:CAC327712 CJY327711:CJY327712 CTU327711:CTU327712 DDQ327711:DDQ327712 DNM327711:DNM327712 DXI327711:DXI327712 EHE327711:EHE327712 ERA327711:ERA327712 FAW327711:FAW327712 FKS327711:FKS327712 FUO327711:FUO327712 GEK327711:GEK327712 GOG327711:GOG327712 GYC327711:GYC327712 HHY327711:HHY327712 HRU327711:HRU327712 IBQ327711:IBQ327712 ILM327711:ILM327712 IVI327711:IVI327712 JFE327711:JFE327712 JPA327711:JPA327712 JYW327711:JYW327712 KIS327711:KIS327712 KSO327711:KSO327712 LCK327711:LCK327712 LMG327711:LMG327712 LWC327711:LWC327712 MFY327711:MFY327712 MPU327711:MPU327712 MZQ327711:MZQ327712 NJM327711:NJM327712 NTI327711:NTI327712 ODE327711:ODE327712 ONA327711:ONA327712 OWW327711:OWW327712 PGS327711:PGS327712 PQO327711:PQO327712 QAK327711:QAK327712 QKG327711:QKG327712 QUC327711:QUC327712 RDY327711:RDY327712 RNU327711:RNU327712 RXQ327711:RXQ327712 SHM327711:SHM327712 SRI327711:SRI327712 TBE327711:TBE327712 TLA327711:TLA327712 TUW327711:TUW327712 UES327711:UES327712 UOO327711:UOO327712 UYK327711:UYK327712 VIG327711:VIG327712 VSC327711:VSC327712 WBY327711:WBY327712 WLU327711:WLU327712 WVQ327711:WVQ327712 I393247:I393248 JE393247:JE393248 TA393247:TA393248 ACW393247:ACW393248 AMS393247:AMS393248 AWO393247:AWO393248 BGK393247:BGK393248 BQG393247:BQG393248 CAC393247:CAC393248 CJY393247:CJY393248 CTU393247:CTU393248 DDQ393247:DDQ393248 DNM393247:DNM393248 DXI393247:DXI393248 EHE393247:EHE393248 ERA393247:ERA393248 FAW393247:FAW393248 FKS393247:FKS393248 FUO393247:FUO393248 GEK393247:GEK393248 GOG393247:GOG393248 GYC393247:GYC393248 HHY393247:HHY393248 HRU393247:HRU393248 IBQ393247:IBQ393248 ILM393247:ILM393248 IVI393247:IVI393248 JFE393247:JFE393248 JPA393247:JPA393248 JYW393247:JYW393248 KIS393247:KIS393248 KSO393247:KSO393248 LCK393247:LCK393248 LMG393247:LMG393248 LWC393247:LWC393248 MFY393247:MFY393248 MPU393247:MPU393248 MZQ393247:MZQ393248 NJM393247:NJM393248 NTI393247:NTI393248 ODE393247:ODE393248 ONA393247:ONA393248 OWW393247:OWW393248 PGS393247:PGS393248 PQO393247:PQO393248 QAK393247:QAK393248 QKG393247:QKG393248 QUC393247:QUC393248 RDY393247:RDY393248 RNU393247:RNU393248 RXQ393247:RXQ393248 SHM393247:SHM393248 SRI393247:SRI393248 TBE393247:TBE393248 TLA393247:TLA393248 TUW393247:TUW393248 UES393247:UES393248 UOO393247:UOO393248 UYK393247:UYK393248 VIG393247:VIG393248 VSC393247:VSC393248 WBY393247:WBY393248 WLU393247:WLU393248 WVQ393247:WVQ393248 I458783:I458784 JE458783:JE458784 TA458783:TA458784 ACW458783:ACW458784 AMS458783:AMS458784 AWO458783:AWO458784 BGK458783:BGK458784 BQG458783:BQG458784 CAC458783:CAC458784 CJY458783:CJY458784 CTU458783:CTU458784 DDQ458783:DDQ458784 DNM458783:DNM458784 DXI458783:DXI458784 EHE458783:EHE458784 ERA458783:ERA458784 FAW458783:FAW458784 FKS458783:FKS458784 FUO458783:FUO458784 GEK458783:GEK458784 GOG458783:GOG458784 GYC458783:GYC458784 HHY458783:HHY458784 HRU458783:HRU458784 IBQ458783:IBQ458784 ILM458783:ILM458784 IVI458783:IVI458784 JFE458783:JFE458784 JPA458783:JPA458784 JYW458783:JYW458784 KIS458783:KIS458784 KSO458783:KSO458784 LCK458783:LCK458784 LMG458783:LMG458784 LWC458783:LWC458784 MFY458783:MFY458784 MPU458783:MPU458784 MZQ458783:MZQ458784 NJM458783:NJM458784 NTI458783:NTI458784 ODE458783:ODE458784 ONA458783:ONA458784 OWW458783:OWW458784 PGS458783:PGS458784 PQO458783:PQO458784 QAK458783:QAK458784 QKG458783:QKG458784 QUC458783:QUC458784 RDY458783:RDY458784 RNU458783:RNU458784 RXQ458783:RXQ458784 SHM458783:SHM458784 SRI458783:SRI458784 TBE458783:TBE458784 TLA458783:TLA458784 TUW458783:TUW458784 UES458783:UES458784 UOO458783:UOO458784 UYK458783:UYK458784 VIG458783:VIG458784 VSC458783:VSC458784 WBY458783:WBY458784 WLU458783:WLU458784 WVQ458783:WVQ458784 I524319:I524320 JE524319:JE524320 TA524319:TA524320 ACW524319:ACW524320 AMS524319:AMS524320 AWO524319:AWO524320 BGK524319:BGK524320 BQG524319:BQG524320 CAC524319:CAC524320 CJY524319:CJY524320 CTU524319:CTU524320 DDQ524319:DDQ524320 DNM524319:DNM524320 DXI524319:DXI524320 EHE524319:EHE524320 ERA524319:ERA524320 FAW524319:FAW524320 FKS524319:FKS524320 FUO524319:FUO524320 GEK524319:GEK524320 GOG524319:GOG524320 GYC524319:GYC524320 HHY524319:HHY524320 HRU524319:HRU524320 IBQ524319:IBQ524320 ILM524319:ILM524320 IVI524319:IVI524320 JFE524319:JFE524320 JPA524319:JPA524320 JYW524319:JYW524320 KIS524319:KIS524320 KSO524319:KSO524320 LCK524319:LCK524320 LMG524319:LMG524320 LWC524319:LWC524320 MFY524319:MFY524320 MPU524319:MPU524320 MZQ524319:MZQ524320 NJM524319:NJM524320 NTI524319:NTI524320 ODE524319:ODE524320 ONA524319:ONA524320 OWW524319:OWW524320 PGS524319:PGS524320 PQO524319:PQO524320 QAK524319:QAK524320 QKG524319:QKG524320 QUC524319:QUC524320 RDY524319:RDY524320 RNU524319:RNU524320 RXQ524319:RXQ524320 SHM524319:SHM524320 SRI524319:SRI524320 TBE524319:TBE524320 TLA524319:TLA524320 TUW524319:TUW524320 UES524319:UES524320 UOO524319:UOO524320 UYK524319:UYK524320 VIG524319:VIG524320 VSC524319:VSC524320 WBY524319:WBY524320 WLU524319:WLU524320 WVQ524319:WVQ524320 I589855:I589856 JE589855:JE589856 TA589855:TA589856 ACW589855:ACW589856 AMS589855:AMS589856 AWO589855:AWO589856 BGK589855:BGK589856 BQG589855:BQG589856 CAC589855:CAC589856 CJY589855:CJY589856 CTU589855:CTU589856 DDQ589855:DDQ589856 DNM589855:DNM589856 DXI589855:DXI589856 EHE589855:EHE589856 ERA589855:ERA589856 FAW589855:FAW589856 FKS589855:FKS589856 FUO589855:FUO589856 GEK589855:GEK589856 GOG589855:GOG589856 GYC589855:GYC589856 HHY589855:HHY589856 HRU589855:HRU589856 IBQ589855:IBQ589856 ILM589855:ILM589856 IVI589855:IVI589856 JFE589855:JFE589856 JPA589855:JPA589856 JYW589855:JYW589856 KIS589855:KIS589856 KSO589855:KSO589856 LCK589855:LCK589856 LMG589855:LMG589856 LWC589855:LWC589856 MFY589855:MFY589856 MPU589855:MPU589856 MZQ589855:MZQ589856 NJM589855:NJM589856 NTI589855:NTI589856 ODE589855:ODE589856 ONA589855:ONA589856 OWW589855:OWW589856 PGS589855:PGS589856 PQO589855:PQO589856 QAK589855:QAK589856 QKG589855:QKG589856 QUC589855:QUC589856 RDY589855:RDY589856 RNU589855:RNU589856 RXQ589855:RXQ589856 SHM589855:SHM589856 SRI589855:SRI589856 TBE589855:TBE589856 TLA589855:TLA589856 TUW589855:TUW589856 UES589855:UES589856 UOO589855:UOO589856 UYK589855:UYK589856 VIG589855:VIG589856 VSC589855:VSC589856 WBY589855:WBY589856 WLU589855:WLU589856 WVQ589855:WVQ589856 I655391:I655392 JE655391:JE655392 TA655391:TA655392 ACW655391:ACW655392 AMS655391:AMS655392 AWO655391:AWO655392 BGK655391:BGK655392 BQG655391:BQG655392 CAC655391:CAC655392 CJY655391:CJY655392 CTU655391:CTU655392 DDQ655391:DDQ655392 DNM655391:DNM655392 DXI655391:DXI655392 EHE655391:EHE655392 ERA655391:ERA655392 FAW655391:FAW655392 FKS655391:FKS655392 FUO655391:FUO655392 GEK655391:GEK655392 GOG655391:GOG655392 GYC655391:GYC655392 HHY655391:HHY655392 HRU655391:HRU655392 IBQ655391:IBQ655392 ILM655391:ILM655392 IVI655391:IVI655392 JFE655391:JFE655392 JPA655391:JPA655392 JYW655391:JYW655392 KIS655391:KIS655392 KSO655391:KSO655392 LCK655391:LCK655392 LMG655391:LMG655392 LWC655391:LWC655392 MFY655391:MFY655392 MPU655391:MPU655392 MZQ655391:MZQ655392 NJM655391:NJM655392 NTI655391:NTI655392 ODE655391:ODE655392 ONA655391:ONA655392 OWW655391:OWW655392 PGS655391:PGS655392 PQO655391:PQO655392 QAK655391:QAK655392 QKG655391:QKG655392 QUC655391:QUC655392 RDY655391:RDY655392 RNU655391:RNU655392 RXQ655391:RXQ655392 SHM655391:SHM655392 SRI655391:SRI655392 TBE655391:TBE655392 TLA655391:TLA655392 TUW655391:TUW655392 UES655391:UES655392 UOO655391:UOO655392 UYK655391:UYK655392 VIG655391:VIG655392 VSC655391:VSC655392 WBY655391:WBY655392 WLU655391:WLU655392 WVQ655391:WVQ655392 I720927:I720928 JE720927:JE720928 TA720927:TA720928 ACW720927:ACW720928 AMS720927:AMS720928 AWO720927:AWO720928 BGK720927:BGK720928 BQG720927:BQG720928 CAC720927:CAC720928 CJY720927:CJY720928 CTU720927:CTU720928 DDQ720927:DDQ720928 DNM720927:DNM720928 DXI720927:DXI720928 EHE720927:EHE720928 ERA720927:ERA720928 FAW720927:FAW720928 FKS720927:FKS720928 FUO720927:FUO720928 GEK720927:GEK720928 GOG720927:GOG720928 GYC720927:GYC720928 HHY720927:HHY720928 HRU720927:HRU720928 IBQ720927:IBQ720928 ILM720927:ILM720928 IVI720927:IVI720928 JFE720927:JFE720928 JPA720927:JPA720928 JYW720927:JYW720928 KIS720927:KIS720928 KSO720927:KSO720928 LCK720927:LCK720928 LMG720927:LMG720928 LWC720927:LWC720928 MFY720927:MFY720928 MPU720927:MPU720928 MZQ720927:MZQ720928 NJM720927:NJM720928 NTI720927:NTI720928 ODE720927:ODE720928 ONA720927:ONA720928 OWW720927:OWW720928 PGS720927:PGS720928 PQO720927:PQO720928 QAK720927:QAK720928 QKG720927:QKG720928 QUC720927:QUC720928 RDY720927:RDY720928 RNU720927:RNU720928 RXQ720927:RXQ720928 SHM720927:SHM720928 SRI720927:SRI720928 TBE720927:TBE720928 TLA720927:TLA720928 TUW720927:TUW720928 UES720927:UES720928 UOO720927:UOO720928 UYK720927:UYK720928 VIG720927:VIG720928 VSC720927:VSC720928 WBY720927:WBY720928 WLU720927:WLU720928 WVQ720927:WVQ720928 I786463:I786464 JE786463:JE786464 TA786463:TA786464 ACW786463:ACW786464 AMS786463:AMS786464 AWO786463:AWO786464 BGK786463:BGK786464 BQG786463:BQG786464 CAC786463:CAC786464 CJY786463:CJY786464 CTU786463:CTU786464 DDQ786463:DDQ786464 DNM786463:DNM786464 DXI786463:DXI786464 EHE786463:EHE786464 ERA786463:ERA786464 FAW786463:FAW786464 FKS786463:FKS786464 FUO786463:FUO786464 GEK786463:GEK786464 GOG786463:GOG786464 GYC786463:GYC786464 HHY786463:HHY786464 HRU786463:HRU786464 IBQ786463:IBQ786464 ILM786463:ILM786464 IVI786463:IVI786464 JFE786463:JFE786464 JPA786463:JPA786464 JYW786463:JYW786464 KIS786463:KIS786464 KSO786463:KSO786464 LCK786463:LCK786464 LMG786463:LMG786464 LWC786463:LWC786464 MFY786463:MFY786464 MPU786463:MPU786464 MZQ786463:MZQ786464 NJM786463:NJM786464 NTI786463:NTI786464 ODE786463:ODE786464 ONA786463:ONA786464 OWW786463:OWW786464 PGS786463:PGS786464 PQO786463:PQO786464 QAK786463:QAK786464 QKG786463:QKG786464 QUC786463:QUC786464 RDY786463:RDY786464 RNU786463:RNU786464 RXQ786463:RXQ786464 SHM786463:SHM786464 SRI786463:SRI786464 TBE786463:TBE786464 TLA786463:TLA786464 TUW786463:TUW786464 UES786463:UES786464 UOO786463:UOO786464 UYK786463:UYK786464 VIG786463:VIG786464 VSC786463:VSC786464 WBY786463:WBY786464 WLU786463:WLU786464 WVQ786463:WVQ786464 I851999:I852000 JE851999:JE852000 TA851999:TA852000 ACW851999:ACW852000 AMS851999:AMS852000 AWO851999:AWO852000 BGK851999:BGK852000 BQG851999:BQG852000 CAC851999:CAC852000 CJY851999:CJY852000 CTU851999:CTU852000 DDQ851999:DDQ852000 DNM851999:DNM852000 DXI851999:DXI852000 EHE851999:EHE852000 ERA851999:ERA852000 FAW851999:FAW852000 FKS851999:FKS852000 FUO851999:FUO852000 GEK851999:GEK852000 GOG851999:GOG852000 GYC851999:GYC852000 HHY851999:HHY852000 HRU851999:HRU852000 IBQ851999:IBQ852000 ILM851999:ILM852000 IVI851999:IVI852000 JFE851999:JFE852000 JPA851999:JPA852000 JYW851999:JYW852000 KIS851999:KIS852000 KSO851999:KSO852000 LCK851999:LCK852000 LMG851999:LMG852000 LWC851999:LWC852000 MFY851999:MFY852000 MPU851999:MPU852000 MZQ851999:MZQ852000 NJM851999:NJM852000 NTI851999:NTI852000 ODE851999:ODE852000 ONA851999:ONA852000 OWW851999:OWW852000 PGS851999:PGS852000 PQO851999:PQO852000 QAK851999:QAK852000 QKG851999:QKG852000 QUC851999:QUC852000 RDY851999:RDY852000 RNU851999:RNU852000 RXQ851999:RXQ852000 SHM851999:SHM852000 SRI851999:SRI852000 TBE851999:TBE852000 TLA851999:TLA852000 TUW851999:TUW852000 UES851999:UES852000 UOO851999:UOO852000 UYK851999:UYK852000 VIG851999:VIG852000 VSC851999:VSC852000 WBY851999:WBY852000 WLU851999:WLU852000 WVQ851999:WVQ852000 I917535:I917536 JE917535:JE917536 TA917535:TA917536 ACW917535:ACW917536 AMS917535:AMS917536 AWO917535:AWO917536 BGK917535:BGK917536 BQG917535:BQG917536 CAC917535:CAC917536 CJY917535:CJY917536 CTU917535:CTU917536 DDQ917535:DDQ917536 DNM917535:DNM917536 DXI917535:DXI917536 EHE917535:EHE917536 ERA917535:ERA917536 FAW917535:FAW917536 FKS917535:FKS917536 FUO917535:FUO917536 GEK917535:GEK917536 GOG917535:GOG917536 GYC917535:GYC917536 HHY917535:HHY917536 HRU917535:HRU917536 IBQ917535:IBQ917536 ILM917535:ILM917536 IVI917535:IVI917536 JFE917535:JFE917536 JPA917535:JPA917536 JYW917535:JYW917536 KIS917535:KIS917536 KSO917535:KSO917536 LCK917535:LCK917536 LMG917535:LMG917536 LWC917535:LWC917536 MFY917535:MFY917536 MPU917535:MPU917536 MZQ917535:MZQ917536 NJM917535:NJM917536 NTI917535:NTI917536 ODE917535:ODE917536 ONA917535:ONA917536 OWW917535:OWW917536 PGS917535:PGS917536 PQO917535:PQO917536 QAK917535:QAK917536 QKG917535:QKG917536 QUC917535:QUC917536 RDY917535:RDY917536 RNU917535:RNU917536 RXQ917535:RXQ917536 SHM917535:SHM917536 SRI917535:SRI917536 TBE917535:TBE917536 TLA917535:TLA917536 TUW917535:TUW917536 UES917535:UES917536 UOO917535:UOO917536 UYK917535:UYK917536 VIG917535:VIG917536 VSC917535:VSC917536 WBY917535:WBY917536 WLU917535:WLU917536 WVQ917535:WVQ917536 I983071:I983072 JE983071:JE983072 TA983071:TA983072 ACW983071:ACW983072 AMS983071:AMS983072 AWO983071:AWO983072 BGK983071:BGK983072 BQG983071:BQG983072 CAC983071:CAC983072 CJY983071:CJY983072 CTU983071:CTU983072 DDQ983071:DDQ983072 DNM983071:DNM983072 DXI983071:DXI983072 EHE983071:EHE983072 ERA983071:ERA983072 FAW983071:FAW983072 FKS983071:FKS983072 FUO983071:FUO983072 GEK983071:GEK983072 GOG983071:GOG983072 GYC983071:GYC983072 HHY983071:HHY983072 HRU983071:HRU983072 IBQ983071:IBQ983072 ILM983071:ILM983072 IVI983071:IVI983072 JFE983071:JFE983072 JPA983071:JPA983072 JYW983071:JYW983072 KIS983071:KIS983072 KSO983071:KSO983072 LCK983071:LCK983072 LMG983071:LMG983072 LWC983071:LWC983072 MFY983071:MFY983072 MPU983071:MPU983072 MZQ983071:MZQ983072 NJM983071:NJM983072 NTI983071:NTI983072 ODE983071:ODE983072 ONA983071:ONA983072 OWW983071:OWW983072 PGS983071:PGS983072 PQO983071:PQO983072 QAK983071:QAK983072 QKG983071:QKG983072 QUC983071:QUC983072 RDY983071:RDY983072 RNU983071:RNU983072 RXQ983071:RXQ983072 SHM983071:SHM983072 SRI983071:SRI983072 TBE983071:TBE983072 TLA983071:TLA983072 TUW983071:TUW983072 UES983071:UES983072 UOO983071:UOO983072 UYK983071:UYK983072 VIG983071:VIG983072 VSC983071:VSC983072 WBY983071:WBY983072 WLU983071:WLU983072 WVQ983071:WVQ983072 K31:K32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K65567:K65568 JG65567:JG65568 TC65567:TC65568 ACY65567:ACY65568 AMU65567:AMU65568 AWQ65567:AWQ65568 BGM65567:BGM65568 BQI65567:BQI65568 CAE65567:CAE65568 CKA65567:CKA65568 CTW65567:CTW65568 DDS65567:DDS65568 DNO65567:DNO65568 DXK65567:DXK65568 EHG65567:EHG65568 ERC65567:ERC65568 FAY65567:FAY65568 FKU65567:FKU65568 FUQ65567:FUQ65568 GEM65567:GEM65568 GOI65567:GOI65568 GYE65567:GYE65568 HIA65567:HIA65568 HRW65567:HRW65568 IBS65567:IBS65568 ILO65567:ILO65568 IVK65567:IVK65568 JFG65567:JFG65568 JPC65567:JPC65568 JYY65567:JYY65568 KIU65567:KIU65568 KSQ65567:KSQ65568 LCM65567:LCM65568 LMI65567:LMI65568 LWE65567:LWE65568 MGA65567:MGA65568 MPW65567:MPW65568 MZS65567:MZS65568 NJO65567:NJO65568 NTK65567:NTK65568 ODG65567:ODG65568 ONC65567:ONC65568 OWY65567:OWY65568 PGU65567:PGU65568 PQQ65567:PQQ65568 QAM65567:QAM65568 QKI65567:QKI65568 QUE65567:QUE65568 REA65567:REA65568 RNW65567:RNW65568 RXS65567:RXS65568 SHO65567:SHO65568 SRK65567:SRK65568 TBG65567:TBG65568 TLC65567:TLC65568 TUY65567:TUY65568 UEU65567:UEU65568 UOQ65567:UOQ65568 UYM65567:UYM65568 VII65567:VII65568 VSE65567:VSE65568 WCA65567:WCA65568 WLW65567:WLW65568 WVS65567:WVS65568 K131103:K131104 JG131103:JG131104 TC131103:TC131104 ACY131103:ACY131104 AMU131103:AMU131104 AWQ131103:AWQ131104 BGM131103:BGM131104 BQI131103:BQI131104 CAE131103:CAE131104 CKA131103:CKA131104 CTW131103:CTW131104 DDS131103:DDS131104 DNO131103:DNO131104 DXK131103:DXK131104 EHG131103:EHG131104 ERC131103:ERC131104 FAY131103:FAY131104 FKU131103:FKU131104 FUQ131103:FUQ131104 GEM131103:GEM131104 GOI131103:GOI131104 GYE131103:GYE131104 HIA131103:HIA131104 HRW131103:HRW131104 IBS131103:IBS131104 ILO131103:ILO131104 IVK131103:IVK131104 JFG131103:JFG131104 JPC131103:JPC131104 JYY131103:JYY131104 KIU131103:KIU131104 KSQ131103:KSQ131104 LCM131103:LCM131104 LMI131103:LMI131104 LWE131103:LWE131104 MGA131103:MGA131104 MPW131103:MPW131104 MZS131103:MZS131104 NJO131103:NJO131104 NTK131103:NTK131104 ODG131103:ODG131104 ONC131103:ONC131104 OWY131103:OWY131104 PGU131103:PGU131104 PQQ131103:PQQ131104 QAM131103:QAM131104 QKI131103:QKI131104 QUE131103:QUE131104 REA131103:REA131104 RNW131103:RNW131104 RXS131103:RXS131104 SHO131103:SHO131104 SRK131103:SRK131104 TBG131103:TBG131104 TLC131103:TLC131104 TUY131103:TUY131104 UEU131103:UEU131104 UOQ131103:UOQ131104 UYM131103:UYM131104 VII131103:VII131104 VSE131103:VSE131104 WCA131103:WCA131104 WLW131103:WLW131104 WVS131103:WVS131104 K196639:K196640 JG196639:JG196640 TC196639:TC196640 ACY196639:ACY196640 AMU196639:AMU196640 AWQ196639:AWQ196640 BGM196639:BGM196640 BQI196639:BQI196640 CAE196639:CAE196640 CKA196639:CKA196640 CTW196639:CTW196640 DDS196639:DDS196640 DNO196639:DNO196640 DXK196639:DXK196640 EHG196639:EHG196640 ERC196639:ERC196640 FAY196639:FAY196640 FKU196639:FKU196640 FUQ196639:FUQ196640 GEM196639:GEM196640 GOI196639:GOI196640 GYE196639:GYE196640 HIA196639:HIA196640 HRW196639:HRW196640 IBS196639:IBS196640 ILO196639:ILO196640 IVK196639:IVK196640 JFG196639:JFG196640 JPC196639:JPC196640 JYY196639:JYY196640 KIU196639:KIU196640 KSQ196639:KSQ196640 LCM196639:LCM196640 LMI196639:LMI196640 LWE196639:LWE196640 MGA196639:MGA196640 MPW196639:MPW196640 MZS196639:MZS196640 NJO196639:NJO196640 NTK196639:NTK196640 ODG196639:ODG196640 ONC196639:ONC196640 OWY196639:OWY196640 PGU196639:PGU196640 PQQ196639:PQQ196640 QAM196639:QAM196640 QKI196639:QKI196640 QUE196639:QUE196640 REA196639:REA196640 RNW196639:RNW196640 RXS196639:RXS196640 SHO196639:SHO196640 SRK196639:SRK196640 TBG196639:TBG196640 TLC196639:TLC196640 TUY196639:TUY196640 UEU196639:UEU196640 UOQ196639:UOQ196640 UYM196639:UYM196640 VII196639:VII196640 VSE196639:VSE196640 WCA196639:WCA196640 WLW196639:WLW196640 WVS196639:WVS196640 K262175:K262176 JG262175:JG262176 TC262175:TC262176 ACY262175:ACY262176 AMU262175:AMU262176 AWQ262175:AWQ262176 BGM262175:BGM262176 BQI262175:BQI262176 CAE262175:CAE262176 CKA262175:CKA262176 CTW262175:CTW262176 DDS262175:DDS262176 DNO262175:DNO262176 DXK262175:DXK262176 EHG262175:EHG262176 ERC262175:ERC262176 FAY262175:FAY262176 FKU262175:FKU262176 FUQ262175:FUQ262176 GEM262175:GEM262176 GOI262175:GOI262176 GYE262175:GYE262176 HIA262175:HIA262176 HRW262175:HRW262176 IBS262175:IBS262176 ILO262175:ILO262176 IVK262175:IVK262176 JFG262175:JFG262176 JPC262175:JPC262176 JYY262175:JYY262176 KIU262175:KIU262176 KSQ262175:KSQ262176 LCM262175:LCM262176 LMI262175:LMI262176 LWE262175:LWE262176 MGA262175:MGA262176 MPW262175:MPW262176 MZS262175:MZS262176 NJO262175:NJO262176 NTK262175:NTK262176 ODG262175:ODG262176 ONC262175:ONC262176 OWY262175:OWY262176 PGU262175:PGU262176 PQQ262175:PQQ262176 QAM262175:QAM262176 QKI262175:QKI262176 QUE262175:QUE262176 REA262175:REA262176 RNW262175:RNW262176 RXS262175:RXS262176 SHO262175:SHO262176 SRK262175:SRK262176 TBG262175:TBG262176 TLC262175:TLC262176 TUY262175:TUY262176 UEU262175:UEU262176 UOQ262175:UOQ262176 UYM262175:UYM262176 VII262175:VII262176 VSE262175:VSE262176 WCA262175:WCA262176 WLW262175:WLW262176 WVS262175:WVS262176 K327711:K327712 JG327711:JG327712 TC327711:TC327712 ACY327711:ACY327712 AMU327711:AMU327712 AWQ327711:AWQ327712 BGM327711:BGM327712 BQI327711:BQI327712 CAE327711:CAE327712 CKA327711:CKA327712 CTW327711:CTW327712 DDS327711:DDS327712 DNO327711:DNO327712 DXK327711:DXK327712 EHG327711:EHG327712 ERC327711:ERC327712 FAY327711:FAY327712 FKU327711:FKU327712 FUQ327711:FUQ327712 GEM327711:GEM327712 GOI327711:GOI327712 GYE327711:GYE327712 HIA327711:HIA327712 HRW327711:HRW327712 IBS327711:IBS327712 ILO327711:ILO327712 IVK327711:IVK327712 JFG327711:JFG327712 JPC327711:JPC327712 JYY327711:JYY327712 KIU327711:KIU327712 KSQ327711:KSQ327712 LCM327711:LCM327712 LMI327711:LMI327712 LWE327711:LWE327712 MGA327711:MGA327712 MPW327711:MPW327712 MZS327711:MZS327712 NJO327711:NJO327712 NTK327711:NTK327712 ODG327711:ODG327712 ONC327711:ONC327712 OWY327711:OWY327712 PGU327711:PGU327712 PQQ327711:PQQ327712 QAM327711:QAM327712 QKI327711:QKI327712 QUE327711:QUE327712 REA327711:REA327712 RNW327711:RNW327712 RXS327711:RXS327712 SHO327711:SHO327712 SRK327711:SRK327712 TBG327711:TBG327712 TLC327711:TLC327712 TUY327711:TUY327712 UEU327711:UEU327712 UOQ327711:UOQ327712 UYM327711:UYM327712 VII327711:VII327712 VSE327711:VSE327712 WCA327711:WCA327712 WLW327711:WLW327712 WVS327711:WVS327712 K393247:K393248 JG393247:JG393248 TC393247:TC393248 ACY393247:ACY393248 AMU393247:AMU393248 AWQ393247:AWQ393248 BGM393247:BGM393248 BQI393247:BQI393248 CAE393247:CAE393248 CKA393247:CKA393248 CTW393247:CTW393248 DDS393247:DDS393248 DNO393247:DNO393248 DXK393247:DXK393248 EHG393247:EHG393248 ERC393247:ERC393248 FAY393247:FAY393248 FKU393247:FKU393248 FUQ393247:FUQ393248 GEM393247:GEM393248 GOI393247:GOI393248 GYE393247:GYE393248 HIA393247:HIA393248 HRW393247:HRW393248 IBS393247:IBS393248 ILO393247:ILO393248 IVK393247:IVK393248 JFG393247:JFG393248 JPC393247:JPC393248 JYY393247:JYY393248 KIU393247:KIU393248 KSQ393247:KSQ393248 LCM393247:LCM393248 LMI393247:LMI393248 LWE393247:LWE393248 MGA393247:MGA393248 MPW393247:MPW393248 MZS393247:MZS393248 NJO393247:NJO393248 NTK393247:NTK393248 ODG393247:ODG393248 ONC393247:ONC393248 OWY393247:OWY393248 PGU393247:PGU393248 PQQ393247:PQQ393248 QAM393247:QAM393248 QKI393247:QKI393248 QUE393247:QUE393248 REA393247:REA393248 RNW393247:RNW393248 RXS393247:RXS393248 SHO393247:SHO393248 SRK393247:SRK393248 TBG393247:TBG393248 TLC393247:TLC393248 TUY393247:TUY393248 UEU393247:UEU393248 UOQ393247:UOQ393248 UYM393247:UYM393248 VII393247:VII393248 VSE393247:VSE393248 WCA393247:WCA393248 WLW393247:WLW393248 WVS393247:WVS393248 K458783:K458784 JG458783:JG458784 TC458783:TC458784 ACY458783:ACY458784 AMU458783:AMU458784 AWQ458783:AWQ458784 BGM458783:BGM458784 BQI458783:BQI458784 CAE458783:CAE458784 CKA458783:CKA458784 CTW458783:CTW458784 DDS458783:DDS458784 DNO458783:DNO458784 DXK458783:DXK458784 EHG458783:EHG458784 ERC458783:ERC458784 FAY458783:FAY458784 FKU458783:FKU458784 FUQ458783:FUQ458784 GEM458783:GEM458784 GOI458783:GOI458784 GYE458783:GYE458784 HIA458783:HIA458784 HRW458783:HRW458784 IBS458783:IBS458784 ILO458783:ILO458784 IVK458783:IVK458784 JFG458783:JFG458784 JPC458783:JPC458784 JYY458783:JYY458784 KIU458783:KIU458784 KSQ458783:KSQ458784 LCM458783:LCM458784 LMI458783:LMI458784 LWE458783:LWE458784 MGA458783:MGA458784 MPW458783:MPW458784 MZS458783:MZS458784 NJO458783:NJO458784 NTK458783:NTK458784 ODG458783:ODG458784 ONC458783:ONC458784 OWY458783:OWY458784 PGU458783:PGU458784 PQQ458783:PQQ458784 QAM458783:QAM458784 QKI458783:QKI458784 QUE458783:QUE458784 REA458783:REA458784 RNW458783:RNW458784 RXS458783:RXS458784 SHO458783:SHO458784 SRK458783:SRK458784 TBG458783:TBG458784 TLC458783:TLC458784 TUY458783:TUY458784 UEU458783:UEU458784 UOQ458783:UOQ458784 UYM458783:UYM458784 VII458783:VII458784 VSE458783:VSE458784 WCA458783:WCA458784 WLW458783:WLW458784 WVS458783:WVS458784 K524319:K524320 JG524319:JG524320 TC524319:TC524320 ACY524319:ACY524320 AMU524319:AMU524320 AWQ524319:AWQ524320 BGM524319:BGM524320 BQI524319:BQI524320 CAE524319:CAE524320 CKA524319:CKA524320 CTW524319:CTW524320 DDS524319:DDS524320 DNO524319:DNO524320 DXK524319:DXK524320 EHG524319:EHG524320 ERC524319:ERC524320 FAY524319:FAY524320 FKU524319:FKU524320 FUQ524319:FUQ524320 GEM524319:GEM524320 GOI524319:GOI524320 GYE524319:GYE524320 HIA524319:HIA524320 HRW524319:HRW524320 IBS524319:IBS524320 ILO524319:ILO524320 IVK524319:IVK524320 JFG524319:JFG524320 JPC524319:JPC524320 JYY524319:JYY524320 KIU524319:KIU524320 KSQ524319:KSQ524320 LCM524319:LCM524320 LMI524319:LMI524320 LWE524319:LWE524320 MGA524319:MGA524320 MPW524319:MPW524320 MZS524319:MZS524320 NJO524319:NJO524320 NTK524319:NTK524320 ODG524319:ODG524320 ONC524319:ONC524320 OWY524319:OWY524320 PGU524319:PGU524320 PQQ524319:PQQ524320 QAM524319:QAM524320 QKI524319:QKI524320 QUE524319:QUE524320 REA524319:REA524320 RNW524319:RNW524320 RXS524319:RXS524320 SHO524319:SHO524320 SRK524319:SRK524320 TBG524319:TBG524320 TLC524319:TLC524320 TUY524319:TUY524320 UEU524319:UEU524320 UOQ524319:UOQ524320 UYM524319:UYM524320 VII524319:VII524320 VSE524319:VSE524320 WCA524319:WCA524320 WLW524319:WLW524320 WVS524319:WVS524320 K589855:K589856 JG589855:JG589856 TC589855:TC589856 ACY589855:ACY589856 AMU589855:AMU589856 AWQ589855:AWQ589856 BGM589855:BGM589856 BQI589855:BQI589856 CAE589855:CAE589856 CKA589855:CKA589856 CTW589855:CTW589856 DDS589855:DDS589856 DNO589855:DNO589856 DXK589855:DXK589856 EHG589855:EHG589856 ERC589855:ERC589856 FAY589855:FAY589856 FKU589855:FKU589856 FUQ589855:FUQ589856 GEM589855:GEM589856 GOI589855:GOI589856 GYE589855:GYE589856 HIA589855:HIA589856 HRW589855:HRW589856 IBS589855:IBS589856 ILO589855:ILO589856 IVK589855:IVK589856 JFG589855:JFG589856 JPC589855:JPC589856 JYY589855:JYY589856 KIU589855:KIU589856 KSQ589855:KSQ589856 LCM589855:LCM589856 LMI589855:LMI589856 LWE589855:LWE589856 MGA589855:MGA589856 MPW589855:MPW589856 MZS589855:MZS589856 NJO589855:NJO589856 NTK589855:NTK589856 ODG589855:ODG589856 ONC589855:ONC589856 OWY589855:OWY589856 PGU589855:PGU589856 PQQ589855:PQQ589856 QAM589855:QAM589856 QKI589855:QKI589856 QUE589855:QUE589856 REA589855:REA589856 RNW589855:RNW589856 RXS589855:RXS589856 SHO589855:SHO589856 SRK589855:SRK589856 TBG589855:TBG589856 TLC589855:TLC589856 TUY589855:TUY589856 UEU589855:UEU589856 UOQ589855:UOQ589856 UYM589855:UYM589856 VII589855:VII589856 VSE589855:VSE589856 WCA589855:WCA589856 WLW589855:WLW589856 WVS589855:WVS589856 K655391:K655392 JG655391:JG655392 TC655391:TC655392 ACY655391:ACY655392 AMU655391:AMU655392 AWQ655391:AWQ655392 BGM655391:BGM655392 BQI655391:BQI655392 CAE655391:CAE655392 CKA655391:CKA655392 CTW655391:CTW655392 DDS655391:DDS655392 DNO655391:DNO655392 DXK655391:DXK655392 EHG655391:EHG655392 ERC655391:ERC655392 FAY655391:FAY655392 FKU655391:FKU655392 FUQ655391:FUQ655392 GEM655391:GEM655392 GOI655391:GOI655392 GYE655391:GYE655392 HIA655391:HIA655392 HRW655391:HRW655392 IBS655391:IBS655392 ILO655391:ILO655392 IVK655391:IVK655392 JFG655391:JFG655392 JPC655391:JPC655392 JYY655391:JYY655392 KIU655391:KIU655392 KSQ655391:KSQ655392 LCM655391:LCM655392 LMI655391:LMI655392 LWE655391:LWE655392 MGA655391:MGA655392 MPW655391:MPW655392 MZS655391:MZS655392 NJO655391:NJO655392 NTK655391:NTK655392 ODG655391:ODG655392 ONC655391:ONC655392 OWY655391:OWY655392 PGU655391:PGU655392 PQQ655391:PQQ655392 QAM655391:QAM655392 QKI655391:QKI655392 QUE655391:QUE655392 REA655391:REA655392 RNW655391:RNW655392 RXS655391:RXS655392 SHO655391:SHO655392 SRK655391:SRK655392 TBG655391:TBG655392 TLC655391:TLC655392 TUY655391:TUY655392 UEU655391:UEU655392 UOQ655391:UOQ655392 UYM655391:UYM655392 VII655391:VII655392 VSE655391:VSE655392 WCA655391:WCA655392 WLW655391:WLW655392 WVS655391:WVS655392 K720927:K720928 JG720927:JG720928 TC720927:TC720928 ACY720927:ACY720928 AMU720927:AMU720928 AWQ720927:AWQ720928 BGM720927:BGM720928 BQI720927:BQI720928 CAE720927:CAE720928 CKA720927:CKA720928 CTW720927:CTW720928 DDS720927:DDS720928 DNO720927:DNO720928 DXK720927:DXK720928 EHG720927:EHG720928 ERC720927:ERC720928 FAY720927:FAY720928 FKU720927:FKU720928 FUQ720927:FUQ720928 GEM720927:GEM720928 GOI720927:GOI720928 GYE720927:GYE720928 HIA720927:HIA720928 HRW720927:HRW720928 IBS720927:IBS720928 ILO720927:ILO720928 IVK720927:IVK720928 JFG720927:JFG720928 JPC720927:JPC720928 JYY720927:JYY720928 KIU720927:KIU720928 KSQ720927:KSQ720928 LCM720927:LCM720928 LMI720927:LMI720928 LWE720927:LWE720928 MGA720927:MGA720928 MPW720927:MPW720928 MZS720927:MZS720928 NJO720927:NJO720928 NTK720927:NTK720928 ODG720927:ODG720928 ONC720927:ONC720928 OWY720927:OWY720928 PGU720927:PGU720928 PQQ720927:PQQ720928 QAM720927:QAM720928 QKI720927:QKI720928 QUE720927:QUE720928 REA720927:REA720928 RNW720927:RNW720928 RXS720927:RXS720928 SHO720927:SHO720928 SRK720927:SRK720928 TBG720927:TBG720928 TLC720927:TLC720928 TUY720927:TUY720928 UEU720927:UEU720928 UOQ720927:UOQ720928 UYM720927:UYM720928 VII720927:VII720928 VSE720927:VSE720928 WCA720927:WCA720928 WLW720927:WLW720928 WVS720927:WVS720928 K786463:K786464 JG786463:JG786464 TC786463:TC786464 ACY786463:ACY786464 AMU786463:AMU786464 AWQ786463:AWQ786464 BGM786463:BGM786464 BQI786463:BQI786464 CAE786463:CAE786464 CKA786463:CKA786464 CTW786463:CTW786464 DDS786463:DDS786464 DNO786463:DNO786464 DXK786463:DXK786464 EHG786463:EHG786464 ERC786463:ERC786464 FAY786463:FAY786464 FKU786463:FKU786464 FUQ786463:FUQ786464 GEM786463:GEM786464 GOI786463:GOI786464 GYE786463:GYE786464 HIA786463:HIA786464 HRW786463:HRW786464 IBS786463:IBS786464 ILO786463:ILO786464 IVK786463:IVK786464 JFG786463:JFG786464 JPC786463:JPC786464 JYY786463:JYY786464 KIU786463:KIU786464 KSQ786463:KSQ786464 LCM786463:LCM786464 LMI786463:LMI786464 LWE786463:LWE786464 MGA786463:MGA786464 MPW786463:MPW786464 MZS786463:MZS786464 NJO786463:NJO786464 NTK786463:NTK786464 ODG786463:ODG786464 ONC786463:ONC786464 OWY786463:OWY786464 PGU786463:PGU786464 PQQ786463:PQQ786464 QAM786463:QAM786464 QKI786463:QKI786464 QUE786463:QUE786464 REA786463:REA786464 RNW786463:RNW786464 RXS786463:RXS786464 SHO786463:SHO786464 SRK786463:SRK786464 TBG786463:TBG786464 TLC786463:TLC786464 TUY786463:TUY786464 UEU786463:UEU786464 UOQ786463:UOQ786464 UYM786463:UYM786464 VII786463:VII786464 VSE786463:VSE786464 WCA786463:WCA786464 WLW786463:WLW786464 WVS786463:WVS786464 K851999:K852000 JG851999:JG852000 TC851999:TC852000 ACY851999:ACY852000 AMU851999:AMU852000 AWQ851999:AWQ852000 BGM851999:BGM852000 BQI851999:BQI852000 CAE851999:CAE852000 CKA851999:CKA852000 CTW851999:CTW852000 DDS851999:DDS852000 DNO851999:DNO852000 DXK851999:DXK852000 EHG851999:EHG852000 ERC851999:ERC852000 FAY851999:FAY852000 FKU851999:FKU852000 FUQ851999:FUQ852000 GEM851999:GEM852000 GOI851999:GOI852000 GYE851999:GYE852000 HIA851999:HIA852000 HRW851999:HRW852000 IBS851999:IBS852000 ILO851999:ILO852000 IVK851999:IVK852000 JFG851999:JFG852000 JPC851999:JPC852000 JYY851999:JYY852000 KIU851999:KIU852000 KSQ851999:KSQ852000 LCM851999:LCM852000 LMI851999:LMI852000 LWE851999:LWE852000 MGA851999:MGA852000 MPW851999:MPW852000 MZS851999:MZS852000 NJO851999:NJO852000 NTK851999:NTK852000 ODG851999:ODG852000 ONC851999:ONC852000 OWY851999:OWY852000 PGU851999:PGU852000 PQQ851999:PQQ852000 QAM851999:QAM852000 QKI851999:QKI852000 QUE851999:QUE852000 REA851999:REA852000 RNW851999:RNW852000 RXS851999:RXS852000 SHO851999:SHO852000 SRK851999:SRK852000 TBG851999:TBG852000 TLC851999:TLC852000 TUY851999:TUY852000 UEU851999:UEU852000 UOQ851999:UOQ852000 UYM851999:UYM852000 VII851999:VII852000 VSE851999:VSE852000 WCA851999:WCA852000 WLW851999:WLW852000 WVS851999:WVS852000 K917535:K917536 JG917535:JG917536 TC917535:TC917536 ACY917535:ACY917536 AMU917535:AMU917536 AWQ917535:AWQ917536 BGM917535:BGM917536 BQI917535:BQI917536 CAE917535:CAE917536 CKA917535:CKA917536 CTW917535:CTW917536 DDS917535:DDS917536 DNO917535:DNO917536 DXK917535:DXK917536 EHG917535:EHG917536 ERC917535:ERC917536 FAY917535:FAY917536 FKU917535:FKU917536 FUQ917535:FUQ917536 GEM917535:GEM917536 GOI917535:GOI917536 GYE917535:GYE917536 HIA917535:HIA917536 HRW917535:HRW917536 IBS917535:IBS917536 ILO917535:ILO917536 IVK917535:IVK917536 JFG917535:JFG917536 JPC917535:JPC917536 JYY917535:JYY917536 KIU917535:KIU917536 KSQ917535:KSQ917536 LCM917535:LCM917536 LMI917535:LMI917536 LWE917535:LWE917536 MGA917535:MGA917536 MPW917535:MPW917536 MZS917535:MZS917536 NJO917535:NJO917536 NTK917535:NTK917536 ODG917535:ODG917536 ONC917535:ONC917536 OWY917535:OWY917536 PGU917535:PGU917536 PQQ917535:PQQ917536 QAM917535:QAM917536 QKI917535:QKI917536 QUE917535:QUE917536 REA917535:REA917536 RNW917535:RNW917536 RXS917535:RXS917536 SHO917535:SHO917536 SRK917535:SRK917536 TBG917535:TBG917536 TLC917535:TLC917536 TUY917535:TUY917536 UEU917535:UEU917536 UOQ917535:UOQ917536 UYM917535:UYM917536 VII917535:VII917536 VSE917535:VSE917536 WCA917535:WCA917536 WLW917535:WLW917536 WVS917535:WVS917536 K983071:K983072 JG983071:JG983072 TC983071:TC983072 ACY983071:ACY983072 AMU983071:AMU983072 AWQ983071:AWQ983072 BGM983071:BGM983072 BQI983071:BQI983072 CAE983071:CAE983072 CKA983071:CKA983072 CTW983071:CTW983072 DDS983071:DDS983072 DNO983071:DNO983072 DXK983071:DXK983072 EHG983071:EHG983072 ERC983071:ERC983072 FAY983071:FAY983072 FKU983071:FKU983072 FUQ983071:FUQ983072 GEM983071:GEM983072 GOI983071:GOI983072 GYE983071:GYE983072 HIA983071:HIA983072 HRW983071:HRW983072 IBS983071:IBS983072 ILO983071:ILO983072 IVK983071:IVK983072 JFG983071:JFG983072 JPC983071:JPC983072 JYY983071:JYY983072 KIU983071:KIU983072 KSQ983071:KSQ983072 LCM983071:LCM983072 LMI983071:LMI983072 LWE983071:LWE983072 MGA983071:MGA983072 MPW983071:MPW983072 MZS983071:MZS983072 NJO983071:NJO983072 NTK983071:NTK983072 ODG983071:ODG983072 ONC983071:ONC983072 OWY983071:OWY983072 PGU983071:PGU983072 PQQ983071:PQQ983072 QAM983071:QAM983072 QKI983071:QKI983072 QUE983071:QUE983072 REA983071:REA983072 RNW983071:RNW983072 RXS983071:RXS983072 SHO983071:SHO983072 SRK983071:SRK983072 TBG983071:TBG983072 TLC983071:TLC983072 TUY983071:TUY983072 UEU983071:UEU983072 UOQ983071:UOQ983072 UYM983071:UYM983072 VII983071:VII983072 VSE983071:VSE983072 WCA983071:WCA983072 WLW983071:WLW983072 WVS983071:WVS983072 M31:M32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M65567:M65568 JI65567:JI65568 TE65567:TE65568 ADA65567:ADA65568 AMW65567:AMW65568 AWS65567:AWS65568 BGO65567:BGO65568 BQK65567:BQK65568 CAG65567:CAG65568 CKC65567:CKC65568 CTY65567:CTY65568 DDU65567:DDU65568 DNQ65567:DNQ65568 DXM65567:DXM65568 EHI65567:EHI65568 ERE65567:ERE65568 FBA65567:FBA65568 FKW65567:FKW65568 FUS65567:FUS65568 GEO65567:GEO65568 GOK65567:GOK65568 GYG65567:GYG65568 HIC65567:HIC65568 HRY65567:HRY65568 IBU65567:IBU65568 ILQ65567:ILQ65568 IVM65567:IVM65568 JFI65567:JFI65568 JPE65567:JPE65568 JZA65567:JZA65568 KIW65567:KIW65568 KSS65567:KSS65568 LCO65567:LCO65568 LMK65567:LMK65568 LWG65567:LWG65568 MGC65567:MGC65568 MPY65567:MPY65568 MZU65567:MZU65568 NJQ65567:NJQ65568 NTM65567:NTM65568 ODI65567:ODI65568 ONE65567:ONE65568 OXA65567:OXA65568 PGW65567:PGW65568 PQS65567:PQS65568 QAO65567:QAO65568 QKK65567:QKK65568 QUG65567:QUG65568 REC65567:REC65568 RNY65567:RNY65568 RXU65567:RXU65568 SHQ65567:SHQ65568 SRM65567:SRM65568 TBI65567:TBI65568 TLE65567:TLE65568 TVA65567:TVA65568 UEW65567:UEW65568 UOS65567:UOS65568 UYO65567:UYO65568 VIK65567:VIK65568 VSG65567:VSG65568 WCC65567:WCC65568 WLY65567:WLY65568 WVU65567:WVU65568 M131103:M131104 JI131103:JI131104 TE131103:TE131104 ADA131103:ADA131104 AMW131103:AMW131104 AWS131103:AWS131104 BGO131103:BGO131104 BQK131103:BQK131104 CAG131103:CAG131104 CKC131103:CKC131104 CTY131103:CTY131104 DDU131103:DDU131104 DNQ131103:DNQ131104 DXM131103:DXM131104 EHI131103:EHI131104 ERE131103:ERE131104 FBA131103:FBA131104 FKW131103:FKW131104 FUS131103:FUS131104 GEO131103:GEO131104 GOK131103:GOK131104 GYG131103:GYG131104 HIC131103:HIC131104 HRY131103:HRY131104 IBU131103:IBU131104 ILQ131103:ILQ131104 IVM131103:IVM131104 JFI131103:JFI131104 JPE131103:JPE131104 JZA131103:JZA131104 KIW131103:KIW131104 KSS131103:KSS131104 LCO131103:LCO131104 LMK131103:LMK131104 LWG131103:LWG131104 MGC131103:MGC131104 MPY131103:MPY131104 MZU131103:MZU131104 NJQ131103:NJQ131104 NTM131103:NTM131104 ODI131103:ODI131104 ONE131103:ONE131104 OXA131103:OXA131104 PGW131103:PGW131104 PQS131103:PQS131104 QAO131103:QAO131104 QKK131103:QKK131104 QUG131103:QUG131104 REC131103:REC131104 RNY131103:RNY131104 RXU131103:RXU131104 SHQ131103:SHQ131104 SRM131103:SRM131104 TBI131103:TBI131104 TLE131103:TLE131104 TVA131103:TVA131104 UEW131103:UEW131104 UOS131103:UOS131104 UYO131103:UYO131104 VIK131103:VIK131104 VSG131103:VSG131104 WCC131103:WCC131104 WLY131103:WLY131104 WVU131103:WVU131104 M196639:M196640 JI196639:JI196640 TE196639:TE196640 ADA196639:ADA196640 AMW196639:AMW196640 AWS196639:AWS196640 BGO196639:BGO196640 BQK196639:BQK196640 CAG196639:CAG196640 CKC196639:CKC196640 CTY196639:CTY196640 DDU196639:DDU196640 DNQ196639:DNQ196640 DXM196639:DXM196640 EHI196639:EHI196640 ERE196639:ERE196640 FBA196639:FBA196640 FKW196639:FKW196640 FUS196639:FUS196640 GEO196639:GEO196640 GOK196639:GOK196640 GYG196639:GYG196640 HIC196639:HIC196640 HRY196639:HRY196640 IBU196639:IBU196640 ILQ196639:ILQ196640 IVM196639:IVM196640 JFI196639:JFI196640 JPE196639:JPE196640 JZA196639:JZA196640 KIW196639:KIW196640 KSS196639:KSS196640 LCO196639:LCO196640 LMK196639:LMK196640 LWG196639:LWG196640 MGC196639:MGC196640 MPY196639:MPY196640 MZU196639:MZU196640 NJQ196639:NJQ196640 NTM196639:NTM196640 ODI196639:ODI196640 ONE196639:ONE196640 OXA196639:OXA196640 PGW196639:PGW196640 PQS196639:PQS196640 QAO196639:QAO196640 QKK196639:QKK196640 QUG196639:QUG196640 REC196639:REC196640 RNY196639:RNY196640 RXU196639:RXU196640 SHQ196639:SHQ196640 SRM196639:SRM196640 TBI196639:TBI196640 TLE196639:TLE196640 TVA196639:TVA196640 UEW196639:UEW196640 UOS196639:UOS196640 UYO196639:UYO196640 VIK196639:VIK196640 VSG196639:VSG196640 WCC196639:WCC196640 WLY196639:WLY196640 WVU196639:WVU196640 M262175:M262176 JI262175:JI262176 TE262175:TE262176 ADA262175:ADA262176 AMW262175:AMW262176 AWS262175:AWS262176 BGO262175:BGO262176 BQK262175:BQK262176 CAG262175:CAG262176 CKC262175:CKC262176 CTY262175:CTY262176 DDU262175:DDU262176 DNQ262175:DNQ262176 DXM262175:DXM262176 EHI262175:EHI262176 ERE262175:ERE262176 FBA262175:FBA262176 FKW262175:FKW262176 FUS262175:FUS262176 GEO262175:GEO262176 GOK262175:GOK262176 GYG262175:GYG262176 HIC262175:HIC262176 HRY262175:HRY262176 IBU262175:IBU262176 ILQ262175:ILQ262176 IVM262175:IVM262176 JFI262175:JFI262176 JPE262175:JPE262176 JZA262175:JZA262176 KIW262175:KIW262176 KSS262175:KSS262176 LCO262175:LCO262176 LMK262175:LMK262176 LWG262175:LWG262176 MGC262175:MGC262176 MPY262175:MPY262176 MZU262175:MZU262176 NJQ262175:NJQ262176 NTM262175:NTM262176 ODI262175:ODI262176 ONE262175:ONE262176 OXA262175:OXA262176 PGW262175:PGW262176 PQS262175:PQS262176 QAO262175:QAO262176 QKK262175:QKK262176 QUG262175:QUG262176 REC262175:REC262176 RNY262175:RNY262176 RXU262175:RXU262176 SHQ262175:SHQ262176 SRM262175:SRM262176 TBI262175:TBI262176 TLE262175:TLE262176 TVA262175:TVA262176 UEW262175:UEW262176 UOS262175:UOS262176 UYO262175:UYO262176 VIK262175:VIK262176 VSG262175:VSG262176 WCC262175:WCC262176 WLY262175:WLY262176 WVU262175:WVU262176 M327711:M327712 JI327711:JI327712 TE327711:TE327712 ADA327711:ADA327712 AMW327711:AMW327712 AWS327711:AWS327712 BGO327711:BGO327712 BQK327711:BQK327712 CAG327711:CAG327712 CKC327711:CKC327712 CTY327711:CTY327712 DDU327711:DDU327712 DNQ327711:DNQ327712 DXM327711:DXM327712 EHI327711:EHI327712 ERE327711:ERE327712 FBA327711:FBA327712 FKW327711:FKW327712 FUS327711:FUS327712 GEO327711:GEO327712 GOK327711:GOK327712 GYG327711:GYG327712 HIC327711:HIC327712 HRY327711:HRY327712 IBU327711:IBU327712 ILQ327711:ILQ327712 IVM327711:IVM327712 JFI327711:JFI327712 JPE327711:JPE327712 JZA327711:JZA327712 KIW327711:KIW327712 KSS327711:KSS327712 LCO327711:LCO327712 LMK327711:LMK327712 LWG327711:LWG327712 MGC327711:MGC327712 MPY327711:MPY327712 MZU327711:MZU327712 NJQ327711:NJQ327712 NTM327711:NTM327712 ODI327711:ODI327712 ONE327711:ONE327712 OXA327711:OXA327712 PGW327711:PGW327712 PQS327711:PQS327712 QAO327711:QAO327712 QKK327711:QKK327712 QUG327711:QUG327712 REC327711:REC327712 RNY327711:RNY327712 RXU327711:RXU327712 SHQ327711:SHQ327712 SRM327711:SRM327712 TBI327711:TBI327712 TLE327711:TLE327712 TVA327711:TVA327712 UEW327711:UEW327712 UOS327711:UOS327712 UYO327711:UYO327712 VIK327711:VIK327712 VSG327711:VSG327712 WCC327711:WCC327712 WLY327711:WLY327712 WVU327711:WVU327712 M393247:M393248 JI393247:JI393248 TE393247:TE393248 ADA393247:ADA393248 AMW393247:AMW393248 AWS393247:AWS393248 BGO393247:BGO393248 BQK393247:BQK393248 CAG393247:CAG393248 CKC393247:CKC393248 CTY393247:CTY393248 DDU393247:DDU393248 DNQ393247:DNQ393248 DXM393247:DXM393248 EHI393247:EHI393248 ERE393247:ERE393248 FBA393247:FBA393248 FKW393247:FKW393248 FUS393247:FUS393248 GEO393247:GEO393248 GOK393247:GOK393248 GYG393247:GYG393248 HIC393247:HIC393248 HRY393247:HRY393248 IBU393247:IBU393248 ILQ393247:ILQ393248 IVM393247:IVM393248 JFI393247:JFI393248 JPE393247:JPE393248 JZA393247:JZA393248 KIW393247:KIW393248 KSS393247:KSS393248 LCO393247:LCO393248 LMK393247:LMK393248 LWG393247:LWG393248 MGC393247:MGC393248 MPY393247:MPY393248 MZU393247:MZU393248 NJQ393247:NJQ393248 NTM393247:NTM393248 ODI393247:ODI393248 ONE393247:ONE393248 OXA393247:OXA393248 PGW393247:PGW393248 PQS393247:PQS393248 QAO393247:QAO393248 QKK393247:QKK393248 QUG393247:QUG393248 REC393247:REC393248 RNY393247:RNY393248 RXU393247:RXU393248 SHQ393247:SHQ393248 SRM393247:SRM393248 TBI393247:TBI393248 TLE393247:TLE393248 TVA393247:TVA393248 UEW393247:UEW393248 UOS393247:UOS393248 UYO393247:UYO393248 VIK393247:VIK393248 VSG393247:VSG393248 WCC393247:WCC393248 WLY393247:WLY393248 WVU393247:WVU393248 M458783:M458784 JI458783:JI458784 TE458783:TE458784 ADA458783:ADA458784 AMW458783:AMW458784 AWS458783:AWS458784 BGO458783:BGO458784 BQK458783:BQK458784 CAG458783:CAG458784 CKC458783:CKC458784 CTY458783:CTY458784 DDU458783:DDU458784 DNQ458783:DNQ458784 DXM458783:DXM458784 EHI458783:EHI458784 ERE458783:ERE458784 FBA458783:FBA458784 FKW458783:FKW458784 FUS458783:FUS458784 GEO458783:GEO458784 GOK458783:GOK458784 GYG458783:GYG458784 HIC458783:HIC458784 HRY458783:HRY458784 IBU458783:IBU458784 ILQ458783:ILQ458784 IVM458783:IVM458784 JFI458783:JFI458784 JPE458783:JPE458784 JZA458783:JZA458784 KIW458783:KIW458784 KSS458783:KSS458784 LCO458783:LCO458784 LMK458783:LMK458784 LWG458783:LWG458784 MGC458783:MGC458784 MPY458783:MPY458784 MZU458783:MZU458784 NJQ458783:NJQ458784 NTM458783:NTM458784 ODI458783:ODI458784 ONE458783:ONE458784 OXA458783:OXA458784 PGW458783:PGW458784 PQS458783:PQS458784 QAO458783:QAO458784 QKK458783:QKK458784 QUG458783:QUG458784 REC458783:REC458784 RNY458783:RNY458784 RXU458783:RXU458784 SHQ458783:SHQ458784 SRM458783:SRM458784 TBI458783:TBI458784 TLE458783:TLE458784 TVA458783:TVA458784 UEW458783:UEW458784 UOS458783:UOS458784 UYO458783:UYO458784 VIK458783:VIK458784 VSG458783:VSG458784 WCC458783:WCC458784 WLY458783:WLY458784 WVU458783:WVU458784 M524319:M524320 JI524319:JI524320 TE524319:TE524320 ADA524319:ADA524320 AMW524319:AMW524320 AWS524319:AWS524320 BGO524319:BGO524320 BQK524319:BQK524320 CAG524319:CAG524320 CKC524319:CKC524320 CTY524319:CTY524320 DDU524319:DDU524320 DNQ524319:DNQ524320 DXM524319:DXM524320 EHI524319:EHI524320 ERE524319:ERE524320 FBA524319:FBA524320 FKW524319:FKW524320 FUS524319:FUS524320 GEO524319:GEO524320 GOK524319:GOK524320 GYG524319:GYG524320 HIC524319:HIC524320 HRY524319:HRY524320 IBU524319:IBU524320 ILQ524319:ILQ524320 IVM524319:IVM524320 JFI524319:JFI524320 JPE524319:JPE524320 JZA524319:JZA524320 KIW524319:KIW524320 KSS524319:KSS524320 LCO524319:LCO524320 LMK524319:LMK524320 LWG524319:LWG524320 MGC524319:MGC524320 MPY524319:MPY524320 MZU524319:MZU524320 NJQ524319:NJQ524320 NTM524319:NTM524320 ODI524319:ODI524320 ONE524319:ONE524320 OXA524319:OXA524320 PGW524319:PGW524320 PQS524319:PQS524320 QAO524319:QAO524320 QKK524319:QKK524320 QUG524319:QUG524320 REC524319:REC524320 RNY524319:RNY524320 RXU524319:RXU524320 SHQ524319:SHQ524320 SRM524319:SRM524320 TBI524319:TBI524320 TLE524319:TLE524320 TVA524319:TVA524320 UEW524319:UEW524320 UOS524319:UOS524320 UYO524319:UYO524320 VIK524319:VIK524320 VSG524319:VSG524320 WCC524319:WCC524320 WLY524319:WLY524320 WVU524319:WVU524320 M589855:M589856 JI589855:JI589856 TE589855:TE589856 ADA589855:ADA589856 AMW589855:AMW589856 AWS589855:AWS589856 BGO589855:BGO589856 BQK589855:BQK589856 CAG589855:CAG589856 CKC589855:CKC589856 CTY589855:CTY589856 DDU589855:DDU589856 DNQ589855:DNQ589856 DXM589855:DXM589856 EHI589855:EHI589856 ERE589855:ERE589856 FBA589855:FBA589856 FKW589855:FKW589856 FUS589855:FUS589856 GEO589855:GEO589856 GOK589855:GOK589856 GYG589855:GYG589856 HIC589855:HIC589856 HRY589855:HRY589856 IBU589855:IBU589856 ILQ589855:ILQ589856 IVM589855:IVM589856 JFI589855:JFI589856 JPE589855:JPE589856 JZA589855:JZA589856 KIW589855:KIW589856 KSS589855:KSS589856 LCO589855:LCO589856 LMK589855:LMK589856 LWG589855:LWG589856 MGC589855:MGC589856 MPY589855:MPY589856 MZU589855:MZU589856 NJQ589855:NJQ589856 NTM589855:NTM589856 ODI589855:ODI589856 ONE589855:ONE589856 OXA589855:OXA589856 PGW589855:PGW589856 PQS589855:PQS589856 QAO589855:QAO589856 QKK589855:QKK589856 QUG589855:QUG589856 REC589855:REC589856 RNY589855:RNY589856 RXU589855:RXU589856 SHQ589855:SHQ589856 SRM589855:SRM589856 TBI589855:TBI589856 TLE589855:TLE589856 TVA589855:TVA589856 UEW589855:UEW589856 UOS589855:UOS589856 UYO589855:UYO589856 VIK589855:VIK589856 VSG589855:VSG589856 WCC589855:WCC589856 WLY589855:WLY589856 WVU589855:WVU589856 M655391:M655392 JI655391:JI655392 TE655391:TE655392 ADA655391:ADA655392 AMW655391:AMW655392 AWS655391:AWS655392 BGO655391:BGO655392 BQK655391:BQK655392 CAG655391:CAG655392 CKC655391:CKC655392 CTY655391:CTY655392 DDU655391:DDU655392 DNQ655391:DNQ655392 DXM655391:DXM655392 EHI655391:EHI655392 ERE655391:ERE655392 FBA655391:FBA655392 FKW655391:FKW655392 FUS655391:FUS655392 GEO655391:GEO655392 GOK655391:GOK655392 GYG655391:GYG655392 HIC655391:HIC655392 HRY655391:HRY655392 IBU655391:IBU655392 ILQ655391:ILQ655392 IVM655391:IVM655392 JFI655391:JFI655392 JPE655391:JPE655392 JZA655391:JZA655392 KIW655391:KIW655392 KSS655391:KSS655392 LCO655391:LCO655392 LMK655391:LMK655392 LWG655391:LWG655392 MGC655391:MGC655392 MPY655391:MPY655392 MZU655391:MZU655392 NJQ655391:NJQ655392 NTM655391:NTM655392 ODI655391:ODI655392 ONE655391:ONE655392 OXA655391:OXA655392 PGW655391:PGW655392 PQS655391:PQS655392 QAO655391:QAO655392 QKK655391:QKK655392 QUG655391:QUG655392 REC655391:REC655392 RNY655391:RNY655392 RXU655391:RXU655392 SHQ655391:SHQ655392 SRM655391:SRM655392 TBI655391:TBI655392 TLE655391:TLE655392 TVA655391:TVA655392 UEW655391:UEW655392 UOS655391:UOS655392 UYO655391:UYO655392 VIK655391:VIK655392 VSG655391:VSG655392 WCC655391:WCC655392 WLY655391:WLY655392 WVU655391:WVU655392 M720927:M720928 JI720927:JI720928 TE720927:TE720928 ADA720927:ADA720928 AMW720927:AMW720928 AWS720927:AWS720928 BGO720927:BGO720928 BQK720927:BQK720928 CAG720927:CAG720928 CKC720927:CKC720928 CTY720927:CTY720928 DDU720927:DDU720928 DNQ720927:DNQ720928 DXM720927:DXM720928 EHI720927:EHI720928 ERE720927:ERE720928 FBA720927:FBA720928 FKW720927:FKW720928 FUS720927:FUS720928 GEO720927:GEO720928 GOK720927:GOK720928 GYG720927:GYG720928 HIC720927:HIC720928 HRY720927:HRY720928 IBU720927:IBU720928 ILQ720927:ILQ720928 IVM720927:IVM720928 JFI720927:JFI720928 JPE720927:JPE720928 JZA720927:JZA720928 KIW720927:KIW720928 KSS720927:KSS720928 LCO720927:LCO720928 LMK720927:LMK720928 LWG720927:LWG720928 MGC720927:MGC720928 MPY720927:MPY720928 MZU720927:MZU720928 NJQ720927:NJQ720928 NTM720927:NTM720928 ODI720927:ODI720928 ONE720927:ONE720928 OXA720927:OXA720928 PGW720927:PGW720928 PQS720927:PQS720928 QAO720927:QAO720928 QKK720927:QKK720928 QUG720927:QUG720928 REC720927:REC720928 RNY720927:RNY720928 RXU720927:RXU720928 SHQ720927:SHQ720928 SRM720927:SRM720928 TBI720927:TBI720928 TLE720927:TLE720928 TVA720927:TVA720928 UEW720927:UEW720928 UOS720927:UOS720928 UYO720927:UYO720928 VIK720927:VIK720928 VSG720927:VSG720928 WCC720927:WCC720928 WLY720927:WLY720928 WVU720927:WVU720928 M786463:M786464 JI786463:JI786464 TE786463:TE786464 ADA786463:ADA786464 AMW786463:AMW786464 AWS786463:AWS786464 BGO786463:BGO786464 BQK786463:BQK786464 CAG786463:CAG786464 CKC786463:CKC786464 CTY786463:CTY786464 DDU786463:DDU786464 DNQ786463:DNQ786464 DXM786463:DXM786464 EHI786463:EHI786464 ERE786463:ERE786464 FBA786463:FBA786464 FKW786463:FKW786464 FUS786463:FUS786464 GEO786463:GEO786464 GOK786463:GOK786464 GYG786463:GYG786464 HIC786463:HIC786464 HRY786463:HRY786464 IBU786463:IBU786464 ILQ786463:ILQ786464 IVM786463:IVM786464 JFI786463:JFI786464 JPE786463:JPE786464 JZA786463:JZA786464 KIW786463:KIW786464 KSS786463:KSS786464 LCO786463:LCO786464 LMK786463:LMK786464 LWG786463:LWG786464 MGC786463:MGC786464 MPY786463:MPY786464 MZU786463:MZU786464 NJQ786463:NJQ786464 NTM786463:NTM786464 ODI786463:ODI786464 ONE786463:ONE786464 OXA786463:OXA786464 PGW786463:PGW786464 PQS786463:PQS786464 QAO786463:QAO786464 QKK786463:QKK786464 QUG786463:QUG786464 REC786463:REC786464 RNY786463:RNY786464 RXU786463:RXU786464 SHQ786463:SHQ786464 SRM786463:SRM786464 TBI786463:TBI786464 TLE786463:TLE786464 TVA786463:TVA786464 UEW786463:UEW786464 UOS786463:UOS786464 UYO786463:UYO786464 VIK786463:VIK786464 VSG786463:VSG786464 WCC786463:WCC786464 WLY786463:WLY786464 WVU786463:WVU786464 M851999:M852000 JI851999:JI852000 TE851999:TE852000 ADA851999:ADA852000 AMW851999:AMW852000 AWS851999:AWS852000 BGO851999:BGO852000 BQK851999:BQK852000 CAG851999:CAG852000 CKC851999:CKC852000 CTY851999:CTY852000 DDU851999:DDU852000 DNQ851999:DNQ852000 DXM851999:DXM852000 EHI851999:EHI852000 ERE851999:ERE852000 FBA851999:FBA852000 FKW851999:FKW852000 FUS851999:FUS852000 GEO851999:GEO852000 GOK851999:GOK852000 GYG851999:GYG852000 HIC851999:HIC852000 HRY851999:HRY852000 IBU851999:IBU852000 ILQ851999:ILQ852000 IVM851999:IVM852000 JFI851999:JFI852000 JPE851999:JPE852000 JZA851999:JZA852000 KIW851999:KIW852000 KSS851999:KSS852000 LCO851999:LCO852000 LMK851999:LMK852000 LWG851999:LWG852000 MGC851999:MGC852000 MPY851999:MPY852000 MZU851999:MZU852000 NJQ851999:NJQ852000 NTM851999:NTM852000 ODI851999:ODI852000 ONE851999:ONE852000 OXA851999:OXA852000 PGW851999:PGW852000 PQS851999:PQS852000 QAO851999:QAO852000 QKK851999:QKK852000 QUG851999:QUG852000 REC851999:REC852000 RNY851999:RNY852000 RXU851999:RXU852000 SHQ851999:SHQ852000 SRM851999:SRM852000 TBI851999:TBI852000 TLE851999:TLE852000 TVA851999:TVA852000 UEW851999:UEW852000 UOS851999:UOS852000 UYO851999:UYO852000 VIK851999:VIK852000 VSG851999:VSG852000 WCC851999:WCC852000 WLY851999:WLY852000 WVU851999:WVU852000 M917535:M917536 JI917535:JI917536 TE917535:TE917536 ADA917535:ADA917536 AMW917535:AMW917536 AWS917535:AWS917536 BGO917535:BGO917536 BQK917535:BQK917536 CAG917535:CAG917536 CKC917535:CKC917536 CTY917535:CTY917536 DDU917535:DDU917536 DNQ917535:DNQ917536 DXM917535:DXM917536 EHI917535:EHI917536 ERE917535:ERE917536 FBA917535:FBA917536 FKW917535:FKW917536 FUS917535:FUS917536 GEO917535:GEO917536 GOK917535:GOK917536 GYG917535:GYG917536 HIC917535:HIC917536 HRY917535:HRY917536 IBU917535:IBU917536 ILQ917535:ILQ917536 IVM917535:IVM917536 JFI917535:JFI917536 JPE917535:JPE917536 JZA917535:JZA917536 KIW917535:KIW917536 KSS917535:KSS917536 LCO917535:LCO917536 LMK917535:LMK917536 LWG917535:LWG917536 MGC917535:MGC917536 MPY917535:MPY917536 MZU917535:MZU917536 NJQ917535:NJQ917536 NTM917535:NTM917536 ODI917535:ODI917536 ONE917535:ONE917536 OXA917535:OXA917536 PGW917535:PGW917536 PQS917535:PQS917536 QAO917535:QAO917536 QKK917535:QKK917536 QUG917535:QUG917536 REC917535:REC917536 RNY917535:RNY917536 RXU917535:RXU917536 SHQ917535:SHQ917536 SRM917535:SRM917536 TBI917535:TBI917536 TLE917535:TLE917536 TVA917535:TVA917536 UEW917535:UEW917536 UOS917535:UOS917536 UYO917535:UYO917536 VIK917535:VIK917536 VSG917535:VSG917536 WCC917535:WCC917536 WLY917535:WLY917536 WVU917535:WVU917536 M983071:M983072 JI983071:JI983072 TE983071:TE983072 ADA983071:ADA983072 AMW983071:AMW983072 AWS983071:AWS983072 BGO983071:BGO983072 BQK983071:BQK983072 CAG983071:CAG983072 CKC983071:CKC983072 CTY983071:CTY983072 DDU983071:DDU983072 DNQ983071:DNQ983072 DXM983071:DXM983072 EHI983071:EHI983072 ERE983071:ERE983072 FBA983071:FBA983072 FKW983071:FKW983072 FUS983071:FUS983072 GEO983071:GEO983072 GOK983071:GOK983072 GYG983071:GYG983072 HIC983071:HIC983072 HRY983071:HRY983072 IBU983071:IBU983072 ILQ983071:ILQ983072 IVM983071:IVM983072 JFI983071:JFI983072 JPE983071:JPE983072 JZA983071:JZA983072 KIW983071:KIW983072 KSS983071:KSS983072 LCO983071:LCO983072 LMK983071:LMK983072 LWG983071:LWG983072 MGC983071:MGC983072 MPY983071:MPY983072 MZU983071:MZU983072 NJQ983071:NJQ983072 NTM983071:NTM983072 ODI983071:ODI983072 ONE983071:ONE983072 OXA983071:OXA983072 PGW983071:PGW983072 PQS983071:PQS983072 QAO983071:QAO983072 QKK983071:QKK983072 QUG983071:QUG983072 REC983071:REC983072 RNY983071:RNY983072 RXU983071:RXU983072 SHQ983071:SHQ983072 SRM983071:SRM983072 TBI983071:TBI983072 TLE983071:TLE983072 TVA983071:TVA983072 UEW983071:UEW983072 UOS983071:UOS983072 UYO983071:UYO983072 VIK983071:VIK983072 VSG983071:VSG983072 WCC983071:WCC983072 WLY983071:WLY983072 WVU983071:WVU983072 Q16:W16 JM16:JS16 TI16:TO16 ADE16:ADK16 ANA16:ANG16 AWW16:AXC16 BGS16:BGY16 BQO16:BQU16 CAK16:CAQ16 CKG16:CKM16 CUC16:CUI16 DDY16:DEE16 DNU16:DOA16 DXQ16:DXW16 EHM16:EHS16 ERI16:ERO16 FBE16:FBK16 FLA16:FLG16 FUW16:FVC16 GES16:GEY16 GOO16:GOU16 GYK16:GYQ16 HIG16:HIM16 HSC16:HSI16 IBY16:ICE16 ILU16:IMA16 IVQ16:IVW16 JFM16:JFS16 JPI16:JPO16 JZE16:JZK16 KJA16:KJG16 KSW16:KTC16 LCS16:LCY16 LMO16:LMU16 LWK16:LWQ16 MGG16:MGM16 MQC16:MQI16 MZY16:NAE16 NJU16:NKA16 NTQ16:NTW16 ODM16:ODS16 ONI16:ONO16 OXE16:OXK16 PHA16:PHG16 PQW16:PRC16 QAS16:QAY16 QKO16:QKU16 QUK16:QUQ16 REG16:REM16 ROC16:ROI16 RXY16:RYE16 SHU16:SIA16 SRQ16:SRW16 TBM16:TBS16 TLI16:TLO16 TVE16:TVK16 UFA16:UFG16 UOW16:UPC16 UYS16:UYY16 VIO16:VIU16 VSK16:VSQ16 WCG16:WCM16 WMC16:WMI16 WVY16:WWE16 Q65552:W65552 JM65552:JS65552 TI65552:TO65552 ADE65552:ADK65552 ANA65552:ANG65552 AWW65552:AXC65552 BGS65552:BGY65552 BQO65552:BQU65552 CAK65552:CAQ65552 CKG65552:CKM65552 CUC65552:CUI65552 DDY65552:DEE65552 DNU65552:DOA65552 DXQ65552:DXW65552 EHM65552:EHS65552 ERI65552:ERO65552 FBE65552:FBK65552 FLA65552:FLG65552 FUW65552:FVC65552 GES65552:GEY65552 GOO65552:GOU65552 GYK65552:GYQ65552 HIG65552:HIM65552 HSC65552:HSI65552 IBY65552:ICE65552 ILU65552:IMA65552 IVQ65552:IVW65552 JFM65552:JFS65552 JPI65552:JPO65552 JZE65552:JZK65552 KJA65552:KJG65552 KSW65552:KTC65552 LCS65552:LCY65552 LMO65552:LMU65552 LWK65552:LWQ65552 MGG65552:MGM65552 MQC65552:MQI65552 MZY65552:NAE65552 NJU65552:NKA65552 NTQ65552:NTW65552 ODM65552:ODS65552 ONI65552:ONO65552 OXE65552:OXK65552 PHA65552:PHG65552 PQW65552:PRC65552 QAS65552:QAY65552 QKO65552:QKU65552 QUK65552:QUQ65552 REG65552:REM65552 ROC65552:ROI65552 RXY65552:RYE65552 SHU65552:SIA65552 SRQ65552:SRW65552 TBM65552:TBS65552 TLI65552:TLO65552 TVE65552:TVK65552 UFA65552:UFG65552 UOW65552:UPC65552 UYS65552:UYY65552 VIO65552:VIU65552 VSK65552:VSQ65552 WCG65552:WCM65552 WMC65552:WMI65552 WVY65552:WWE65552 Q131088:W131088 JM131088:JS131088 TI131088:TO131088 ADE131088:ADK131088 ANA131088:ANG131088 AWW131088:AXC131088 BGS131088:BGY131088 BQO131088:BQU131088 CAK131088:CAQ131088 CKG131088:CKM131088 CUC131088:CUI131088 DDY131088:DEE131088 DNU131088:DOA131088 DXQ131088:DXW131088 EHM131088:EHS131088 ERI131088:ERO131088 FBE131088:FBK131088 FLA131088:FLG131088 FUW131088:FVC131088 GES131088:GEY131088 GOO131088:GOU131088 GYK131088:GYQ131088 HIG131088:HIM131088 HSC131088:HSI131088 IBY131088:ICE131088 ILU131088:IMA131088 IVQ131088:IVW131088 JFM131088:JFS131088 JPI131088:JPO131088 JZE131088:JZK131088 KJA131088:KJG131088 KSW131088:KTC131088 LCS131088:LCY131088 LMO131088:LMU131088 LWK131088:LWQ131088 MGG131088:MGM131088 MQC131088:MQI131088 MZY131088:NAE131088 NJU131088:NKA131088 NTQ131088:NTW131088 ODM131088:ODS131088 ONI131088:ONO131088 OXE131088:OXK131088 PHA131088:PHG131088 PQW131088:PRC131088 QAS131088:QAY131088 QKO131088:QKU131088 QUK131088:QUQ131088 REG131088:REM131088 ROC131088:ROI131088 RXY131088:RYE131088 SHU131088:SIA131088 SRQ131088:SRW131088 TBM131088:TBS131088 TLI131088:TLO131088 TVE131088:TVK131088 UFA131088:UFG131088 UOW131088:UPC131088 UYS131088:UYY131088 VIO131088:VIU131088 VSK131088:VSQ131088 WCG131088:WCM131088 WMC131088:WMI131088 WVY131088:WWE131088 Q196624:W196624 JM196624:JS196624 TI196624:TO196624 ADE196624:ADK196624 ANA196624:ANG196624 AWW196624:AXC196624 BGS196624:BGY196624 BQO196624:BQU196624 CAK196624:CAQ196624 CKG196624:CKM196624 CUC196624:CUI196624 DDY196624:DEE196624 DNU196624:DOA196624 DXQ196624:DXW196624 EHM196624:EHS196624 ERI196624:ERO196624 FBE196624:FBK196624 FLA196624:FLG196624 FUW196624:FVC196624 GES196624:GEY196624 GOO196624:GOU196624 GYK196624:GYQ196624 HIG196624:HIM196624 HSC196624:HSI196624 IBY196624:ICE196624 ILU196624:IMA196624 IVQ196624:IVW196624 JFM196624:JFS196624 JPI196624:JPO196624 JZE196624:JZK196624 KJA196624:KJG196624 KSW196624:KTC196624 LCS196624:LCY196624 LMO196624:LMU196624 LWK196624:LWQ196624 MGG196624:MGM196624 MQC196624:MQI196624 MZY196624:NAE196624 NJU196624:NKA196624 NTQ196624:NTW196624 ODM196624:ODS196624 ONI196624:ONO196624 OXE196624:OXK196624 PHA196624:PHG196624 PQW196624:PRC196624 QAS196624:QAY196624 QKO196624:QKU196624 QUK196624:QUQ196624 REG196624:REM196624 ROC196624:ROI196624 RXY196624:RYE196624 SHU196624:SIA196624 SRQ196624:SRW196624 TBM196624:TBS196624 TLI196624:TLO196624 TVE196624:TVK196624 UFA196624:UFG196624 UOW196624:UPC196624 UYS196624:UYY196624 VIO196624:VIU196624 VSK196624:VSQ196624 WCG196624:WCM196624 WMC196624:WMI196624 WVY196624:WWE196624 Q262160:W262160 JM262160:JS262160 TI262160:TO262160 ADE262160:ADK262160 ANA262160:ANG262160 AWW262160:AXC262160 BGS262160:BGY262160 BQO262160:BQU262160 CAK262160:CAQ262160 CKG262160:CKM262160 CUC262160:CUI262160 DDY262160:DEE262160 DNU262160:DOA262160 DXQ262160:DXW262160 EHM262160:EHS262160 ERI262160:ERO262160 FBE262160:FBK262160 FLA262160:FLG262160 FUW262160:FVC262160 GES262160:GEY262160 GOO262160:GOU262160 GYK262160:GYQ262160 HIG262160:HIM262160 HSC262160:HSI262160 IBY262160:ICE262160 ILU262160:IMA262160 IVQ262160:IVW262160 JFM262160:JFS262160 JPI262160:JPO262160 JZE262160:JZK262160 KJA262160:KJG262160 KSW262160:KTC262160 LCS262160:LCY262160 LMO262160:LMU262160 LWK262160:LWQ262160 MGG262160:MGM262160 MQC262160:MQI262160 MZY262160:NAE262160 NJU262160:NKA262160 NTQ262160:NTW262160 ODM262160:ODS262160 ONI262160:ONO262160 OXE262160:OXK262160 PHA262160:PHG262160 PQW262160:PRC262160 QAS262160:QAY262160 QKO262160:QKU262160 QUK262160:QUQ262160 REG262160:REM262160 ROC262160:ROI262160 RXY262160:RYE262160 SHU262160:SIA262160 SRQ262160:SRW262160 TBM262160:TBS262160 TLI262160:TLO262160 TVE262160:TVK262160 UFA262160:UFG262160 UOW262160:UPC262160 UYS262160:UYY262160 VIO262160:VIU262160 VSK262160:VSQ262160 WCG262160:WCM262160 WMC262160:WMI262160 WVY262160:WWE262160 Q327696:W327696 JM327696:JS327696 TI327696:TO327696 ADE327696:ADK327696 ANA327696:ANG327696 AWW327696:AXC327696 BGS327696:BGY327696 BQO327696:BQU327696 CAK327696:CAQ327696 CKG327696:CKM327696 CUC327696:CUI327696 DDY327696:DEE327696 DNU327696:DOA327696 DXQ327696:DXW327696 EHM327696:EHS327696 ERI327696:ERO327696 FBE327696:FBK327696 FLA327696:FLG327696 FUW327696:FVC327696 GES327696:GEY327696 GOO327696:GOU327696 GYK327696:GYQ327696 HIG327696:HIM327696 HSC327696:HSI327696 IBY327696:ICE327696 ILU327696:IMA327696 IVQ327696:IVW327696 JFM327696:JFS327696 JPI327696:JPO327696 JZE327696:JZK327696 KJA327696:KJG327696 KSW327696:KTC327696 LCS327696:LCY327696 LMO327696:LMU327696 LWK327696:LWQ327696 MGG327696:MGM327696 MQC327696:MQI327696 MZY327696:NAE327696 NJU327696:NKA327696 NTQ327696:NTW327696 ODM327696:ODS327696 ONI327696:ONO327696 OXE327696:OXK327696 PHA327696:PHG327696 PQW327696:PRC327696 QAS327696:QAY327696 QKO327696:QKU327696 QUK327696:QUQ327696 REG327696:REM327696 ROC327696:ROI327696 RXY327696:RYE327696 SHU327696:SIA327696 SRQ327696:SRW327696 TBM327696:TBS327696 TLI327696:TLO327696 TVE327696:TVK327696 UFA327696:UFG327696 UOW327696:UPC327696 UYS327696:UYY327696 VIO327696:VIU327696 VSK327696:VSQ327696 WCG327696:WCM327696 WMC327696:WMI327696 WVY327696:WWE327696 Q393232:W393232 JM393232:JS393232 TI393232:TO393232 ADE393232:ADK393232 ANA393232:ANG393232 AWW393232:AXC393232 BGS393232:BGY393232 BQO393232:BQU393232 CAK393232:CAQ393232 CKG393232:CKM393232 CUC393232:CUI393232 DDY393232:DEE393232 DNU393232:DOA393232 DXQ393232:DXW393232 EHM393232:EHS393232 ERI393232:ERO393232 FBE393232:FBK393232 FLA393232:FLG393232 FUW393232:FVC393232 GES393232:GEY393232 GOO393232:GOU393232 GYK393232:GYQ393232 HIG393232:HIM393232 HSC393232:HSI393232 IBY393232:ICE393232 ILU393232:IMA393232 IVQ393232:IVW393232 JFM393232:JFS393232 JPI393232:JPO393232 JZE393232:JZK393232 KJA393232:KJG393232 KSW393232:KTC393232 LCS393232:LCY393232 LMO393232:LMU393232 LWK393232:LWQ393232 MGG393232:MGM393232 MQC393232:MQI393232 MZY393232:NAE393232 NJU393232:NKA393232 NTQ393232:NTW393232 ODM393232:ODS393232 ONI393232:ONO393232 OXE393232:OXK393232 PHA393232:PHG393232 PQW393232:PRC393232 QAS393232:QAY393232 QKO393232:QKU393232 QUK393232:QUQ393232 REG393232:REM393232 ROC393232:ROI393232 RXY393232:RYE393232 SHU393232:SIA393232 SRQ393232:SRW393232 TBM393232:TBS393232 TLI393232:TLO393232 TVE393232:TVK393232 UFA393232:UFG393232 UOW393232:UPC393232 UYS393232:UYY393232 VIO393232:VIU393232 VSK393232:VSQ393232 WCG393232:WCM393232 WMC393232:WMI393232 WVY393232:WWE393232 Q458768:W458768 JM458768:JS458768 TI458768:TO458768 ADE458768:ADK458768 ANA458768:ANG458768 AWW458768:AXC458768 BGS458768:BGY458768 BQO458768:BQU458768 CAK458768:CAQ458768 CKG458768:CKM458768 CUC458768:CUI458768 DDY458768:DEE458768 DNU458768:DOA458768 DXQ458768:DXW458768 EHM458768:EHS458768 ERI458768:ERO458768 FBE458768:FBK458768 FLA458768:FLG458768 FUW458768:FVC458768 GES458768:GEY458768 GOO458768:GOU458768 GYK458768:GYQ458768 HIG458768:HIM458768 HSC458768:HSI458768 IBY458768:ICE458768 ILU458768:IMA458768 IVQ458768:IVW458768 JFM458768:JFS458768 JPI458768:JPO458768 JZE458768:JZK458768 KJA458768:KJG458768 KSW458768:KTC458768 LCS458768:LCY458768 LMO458768:LMU458768 LWK458768:LWQ458768 MGG458768:MGM458768 MQC458768:MQI458768 MZY458768:NAE458768 NJU458768:NKA458768 NTQ458768:NTW458768 ODM458768:ODS458768 ONI458768:ONO458768 OXE458768:OXK458768 PHA458768:PHG458768 PQW458768:PRC458768 QAS458768:QAY458768 QKO458768:QKU458768 QUK458768:QUQ458768 REG458768:REM458768 ROC458768:ROI458768 RXY458768:RYE458768 SHU458768:SIA458768 SRQ458768:SRW458768 TBM458768:TBS458768 TLI458768:TLO458768 TVE458768:TVK458768 UFA458768:UFG458768 UOW458768:UPC458768 UYS458768:UYY458768 VIO458768:VIU458768 VSK458768:VSQ458768 WCG458768:WCM458768 WMC458768:WMI458768 WVY458768:WWE458768 Q524304:W524304 JM524304:JS524304 TI524304:TO524304 ADE524304:ADK524304 ANA524304:ANG524304 AWW524304:AXC524304 BGS524304:BGY524304 BQO524304:BQU524304 CAK524304:CAQ524304 CKG524304:CKM524304 CUC524304:CUI524304 DDY524304:DEE524304 DNU524304:DOA524304 DXQ524304:DXW524304 EHM524304:EHS524304 ERI524304:ERO524304 FBE524304:FBK524304 FLA524304:FLG524304 FUW524304:FVC524304 GES524304:GEY524304 GOO524304:GOU524304 GYK524304:GYQ524304 HIG524304:HIM524304 HSC524304:HSI524304 IBY524304:ICE524304 ILU524304:IMA524304 IVQ524304:IVW524304 JFM524304:JFS524304 JPI524304:JPO524304 JZE524304:JZK524304 KJA524304:KJG524304 KSW524304:KTC524304 LCS524304:LCY524304 LMO524304:LMU524304 LWK524304:LWQ524304 MGG524304:MGM524304 MQC524304:MQI524304 MZY524304:NAE524304 NJU524304:NKA524304 NTQ524304:NTW524304 ODM524304:ODS524304 ONI524304:ONO524304 OXE524304:OXK524304 PHA524304:PHG524304 PQW524304:PRC524304 QAS524304:QAY524304 QKO524304:QKU524304 QUK524304:QUQ524304 REG524304:REM524304 ROC524304:ROI524304 RXY524304:RYE524304 SHU524304:SIA524304 SRQ524304:SRW524304 TBM524304:TBS524304 TLI524304:TLO524304 TVE524304:TVK524304 UFA524304:UFG524304 UOW524304:UPC524304 UYS524304:UYY524304 VIO524304:VIU524304 VSK524304:VSQ524304 WCG524304:WCM524304 WMC524304:WMI524304 WVY524304:WWE524304 Q589840:W589840 JM589840:JS589840 TI589840:TO589840 ADE589840:ADK589840 ANA589840:ANG589840 AWW589840:AXC589840 BGS589840:BGY589840 BQO589840:BQU589840 CAK589840:CAQ589840 CKG589840:CKM589840 CUC589840:CUI589840 DDY589840:DEE589840 DNU589840:DOA589840 DXQ589840:DXW589840 EHM589840:EHS589840 ERI589840:ERO589840 FBE589840:FBK589840 FLA589840:FLG589840 FUW589840:FVC589840 GES589840:GEY589840 GOO589840:GOU589840 GYK589840:GYQ589840 HIG589840:HIM589840 HSC589840:HSI589840 IBY589840:ICE589840 ILU589840:IMA589840 IVQ589840:IVW589840 JFM589840:JFS589840 JPI589840:JPO589840 JZE589840:JZK589840 KJA589840:KJG589840 KSW589840:KTC589840 LCS589840:LCY589840 LMO589840:LMU589840 LWK589840:LWQ589840 MGG589840:MGM589840 MQC589840:MQI589840 MZY589840:NAE589840 NJU589840:NKA589840 NTQ589840:NTW589840 ODM589840:ODS589840 ONI589840:ONO589840 OXE589840:OXK589840 PHA589840:PHG589840 PQW589840:PRC589840 QAS589840:QAY589840 QKO589840:QKU589840 QUK589840:QUQ589840 REG589840:REM589840 ROC589840:ROI589840 RXY589840:RYE589840 SHU589840:SIA589840 SRQ589840:SRW589840 TBM589840:TBS589840 TLI589840:TLO589840 TVE589840:TVK589840 UFA589840:UFG589840 UOW589840:UPC589840 UYS589840:UYY589840 VIO589840:VIU589840 VSK589840:VSQ589840 WCG589840:WCM589840 WMC589840:WMI589840 WVY589840:WWE589840 Q655376:W655376 JM655376:JS655376 TI655376:TO655376 ADE655376:ADK655376 ANA655376:ANG655376 AWW655376:AXC655376 BGS655376:BGY655376 BQO655376:BQU655376 CAK655376:CAQ655376 CKG655376:CKM655376 CUC655376:CUI655376 DDY655376:DEE655376 DNU655376:DOA655376 DXQ655376:DXW655376 EHM655376:EHS655376 ERI655376:ERO655376 FBE655376:FBK655376 FLA655376:FLG655376 FUW655376:FVC655376 GES655376:GEY655376 GOO655376:GOU655376 GYK655376:GYQ655376 HIG655376:HIM655376 HSC655376:HSI655376 IBY655376:ICE655376 ILU655376:IMA655376 IVQ655376:IVW655376 JFM655376:JFS655376 JPI655376:JPO655376 JZE655376:JZK655376 KJA655376:KJG655376 KSW655376:KTC655376 LCS655376:LCY655376 LMO655376:LMU655376 LWK655376:LWQ655376 MGG655376:MGM655376 MQC655376:MQI655376 MZY655376:NAE655376 NJU655376:NKA655376 NTQ655376:NTW655376 ODM655376:ODS655376 ONI655376:ONO655376 OXE655376:OXK655376 PHA655376:PHG655376 PQW655376:PRC655376 QAS655376:QAY655376 QKO655376:QKU655376 QUK655376:QUQ655376 REG655376:REM655376 ROC655376:ROI655376 RXY655376:RYE655376 SHU655376:SIA655376 SRQ655376:SRW655376 TBM655376:TBS655376 TLI655376:TLO655376 TVE655376:TVK655376 UFA655376:UFG655376 UOW655376:UPC655376 UYS655376:UYY655376 VIO655376:VIU655376 VSK655376:VSQ655376 WCG655376:WCM655376 WMC655376:WMI655376 WVY655376:WWE655376 Q720912:W720912 JM720912:JS720912 TI720912:TO720912 ADE720912:ADK720912 ANA720912:ANG720912 AWW720912:AXC720912 BGS720912:BGY720912 BQO720912:BQU720912 CAK720912:CAQ720912 CKG720912:CKM720912 CUC720912:CUI720912 DDY720912:DEE720912 DNU720912:DOA720912 DXQ720912:DXW720912 EHM720912:EHS720912 ERI720912:ERO720912 FBE720912:FBK720912 FLA720912:FLG720912 FUW720912:FVC720912 GES720912:GEY720912 GOO720912:GOU720912 GYK720912:GYQ720912 HIG720912:HIM720912 HSC720912:HSI720912 IBY720912:ICE720912 ILU720912:IMA720912 IVQ720912:IVW720912 JFM720912:JFS720912 JPI720912:JPO720912 JZE720912:JZK720912 KJA720912:KJG720912 KSW720912:KTC720912 LCS720912:LCY720912 LMO720912:LMU720912 LWK720912:LWQ720912 MGG720912:MGM720912 MQC720912:MQI720912 MZY720912:NAE720912 NJU720912:NKA720912 NTQ720912:NTW720912 ODM720912:ODS720912 ONI720912:ONO720912 OXE720912:OXK720912 PHA720912:PHG720912 PQW720912:PRC720912 QAS720912:QAY720912 QKO720912:QKU720912 QUK720912:QUQ720912 REG720912:REM720912 ROC720912:ROI720912 RXY720912:RYE720912 SHU720912:SIA720912 SRQ720912:SRW720912 TBM720912:TBS720912 TLI720912:TLO720912 TVE720912:TVK720912 UFA720912:UFG720912 UOW720912:UPC720912 UYS720912:UYY720912 VIO720912:VIU720912 VSK720912:VSQ720912 WCG720912:WCM720912 WMC720912:WMI720912 WVY720912:WWE720912 Q786448:W786448 JM786448:JS786448 TI786448:TO786448 ADE786448:ADK786448 ANA786448:ANG786448 AWW786448:AXC786448 BGS786448:BGY786448 BQO786448:BQU786448 CAK786448:CAQ786448 CKG786448:CKM786448 CUC786448:CUI786448 DDY786448:DEE786448 DNU786448:DOA786448 DXQ786448:DXW786448 EHM786448:EHS786448 ERI786448:ERO786448 FBE786448:FBK786448 FLA786448:FLG786448 FUW786448:FVC786448 GES786448:GEY786448 GOO786448:GOU786448 GYK786448:GYQ786448 HIG786448:HIM786448 HSC786448:HSI786448 IBY786448:ICE786448 ILU786448:IMA786448 IVQ786448:IVW786448 JFM786448:JFS786448 JPI786448:JPO786448 JZE786448:JZK786448 KJA786448:KJG786448 KSW786448:KTC786448 LCS786448:LCY786448 LMO786448:LMU786448 LWK786448:LWQ786448 MGG786448:MGM786448 MQC786448:MQI786448 MZY786448:NAE786448 NJU786448:NKA786448 NTQ786448:NTW786448 ODM786448:ODS786448 ONI786448:ONO786448 OXE786448:OXK786448 PHA786448:PHG786448 PQW786448:PRC786448 QAS786448:QAY786448 QKO786448:QKU786448 QUK786448:QUQ786448 REG786448:REM786448 ROC786448:ROI786448 RXY786448:RYE786448 SHU786448:SIA786448 SRQ786448:SRW786448 TBM786448:TBS786448 TLI786448:TLO786448 TVE786448:TVK786448 UFA786448:UFG786448 UOW786448:UPC786448 UYS786448:UYY786448 VIO786448:VIU786448 VSK786448:VSQ786448 WCG786448:WCM786448 WMC786448:WMI786448 WVY786448:WWE786448 Q851984:W851984 JM851984:JS851984 TI851984:TO851984 ADE851984:ADK851984 ANA851984:ANG851984 AWW851984:AXC851984 BGS851984:BGY851984 BQO851984:BQU851984 CAK851984:CAQ851984 CKG851984:CKM851984 CUC851984:CUI851984 DDY851984:DEE851984 DNU851984:DOA851984 DXQ851984:DXW851984 EHM851984:EHS851984 ERI851984:ERO851984 FBE851984:FBK851984 FLA851984:FLG851984 FUW851984:FVC851984 GES851984:GEY851984 GOO851984:GOU851984 GYK851984:GYQ851984 HIG851984:HIM851984 HSC851984:HSI851984 IBY851984:ICE851984 ILU851984:IMA851984 IVQ851984:IVW851984 JFM851984:JFS851984 JPI851984:JPO851984 JZE851984:JZK851984 KJA851984:KJG851984 KSW851984:KTC851984 LCS851984:LCY851984 LMO851984:LMU851984 LWK851984:LWQ851984 MGG851984:MGM851984 MQC851984:MQI851984 MZY851984:NAE851984 NJU851984:NKA851984 NTQ851984:NTW851984 ODM851984:ODS851984 ONI851984:ONO851984 OXE851984:OXK851984 PHA851984:PHG851984 PQW851984:PRC851984 QAS851984:QAY851984 QKO851984:QKU851984 QUK851984:QUQ851984 REG851984:REM851984 ROC851984:ROI851984 RXY851984:RYE851984 SHU851984:SIA851984 SRQ851984:SRW851984 TBM851984:TBS851984 TLI851984:TLO851984 TVE851984:TVK851984 UFA851984:UFG851984 UOW851984:UPC851984 UYS851984:UYY851984 VIO851984:VIU851984 VSK851984:VSQ851984 WCG851984:WCM851984 WMC851984:WMI851984 WVY851984:WWE851984 Q917520:W917520 JM917520:JS917520 TI917520:TO917520 ADE917520:ADK917520 ANA917520:ANG917520 AWW917520:AXC917520 BGS917520:BGY917520 BQO917520:BQU917520 CAK917520:CAQ917520 CKG917520:CKM917520 CUC917520:CUI917520 DDY917520:DEE917520 DNU917520:DOA917520 DXQ917520:DXW917520 EHM917520:EHS917520 ERI917520:ERO917520 FBE917520:FBK917520 FLA917520:FLG917520 FUW917520:FVC917520 GES917520:GEY917520 GOO917520:GOU917520 GYK917520:GYQ917520 HIG917520:HIM917520 HSC917520:HSI917520 IBY917520:ICE917520 ILU917520:IMA917520 IVQ917520:IVW917520 JFM917520:JFS917520 JPI917520:JPO917520 JZE917520:JZK917520 KJA917520:KJG917520 KSW917520:KTC917520 LCS917520:LCY917520 LMO917520:LMU917520 LWK917520:LWQ917520 MGG917520:MGM917520 MQC917520:MQI917520 MZY917520:NAE917520 NJU917520:NKA917520 NTQ917520:NTW917520 ODM917520:ODS917520 ONI917520:ONO917520 OXE917520:OXK917520 PHA917520:PHG917520 PQW917520:PRC917520 QAS917520:QAY917520 QKO917520:QKU917520 QUK917520:QUQ917520 REG917520:REM917520 ROC917520:ROI917520 RXY917520:RYE917520 SHU917520:SIA917520 SRQ917520:SRW917520 TBM917520:TBS917520 TLI917520:TLO917520 TVE917520:TVK917520 UFA917520:UFG917520 UOW917520:UPC917520 UYS917520:UYY917520 VIO917520:VIU917520 VSK917520:VSQ917520 WCG917520:WCM917520 WMC917520:WMI917520 WVY917520:WWE917520 Q983056:W983056 JM983056:JS983056 TI983056:TO983056 ADE983056:ADK983056 ANA983056:ANG983056 AWW983056:AXC983056 BGS983056:BGY983056 BQO983056:BQU983056 CAK983056:CAQ983056 CKG983056:CKM983056 CUC983056:CUI983056 DDY983056:DEE983056 DNU983056:DOA983056 DXQ983056:DXW983056 EHM983056:EHS983056 ERI983056:ERO983056 FBE983056:FBK983056 FLA983056:FLG983056 FUW983056:FVC983056 GES983056:GEY983056 GOO983056:GOU983056 GYK983056:GYQ983056 HIG983056:HIM983056 HSC983056:HSI983056 IBY983056:ICE983056 ILU983056:IMA983056 IVQ983056:IVW983056 JFM983056:JFS983056 JPI983056:JPO983056 JZE983056:JZK983056 KJA983056:KJG983056 KSW983056:KTC983056 LCS983056:LCY983056 LMO983056:LMU983056 LWK983056:LWQ983056 MGG983056:MGM983056 MQC983056:MQI983056 MZY983056:NAE983056 NJU983056:NKA983056 NTQ983056:NTW983056 ODM983056:ODS983056 ONI983056:ONO983056 OXE983056:OXK983056 PHA983056:PHG983056 PQW983056:PRC983056 QAS983056:QAY983056 QKO983056:QKU983056 QUK983056:QUQ983056 REG983056:REM983056 ROC983056:ROI983056 RXY983056:RYE983056 SHU983056:SIA983056 SRQ983056:SRW983056 TBM983056:TBS983056 TLI983056:TLO983056 TVE983056:TVK983056 UFA983056:UFG983056 UOW983056:UPC983056 UYS983056:UYY983056 VIO983056:VIU983056 VSK983056:VSQ983056 WCG983056:WCM983056 WMC983056:WMI983056 WVY983056:WWE983056 Q31:V32 JM31:JR32 TI31:TN32 ADE31:ADJ32 ANA31:ANF32 AWW31:AXB32 BGS31:BGX32 BQO31:BQT32 CAK31:CAP32 CKG31:CKL32 CUC31:CUH32 DDY31:DED32 DNU31:DNZ32 DXQ31:DXV32 EHM31:EHR32 ERI31:ERN32 FBE31:FBJ32 FLA31:FLF32 FUW31:FVB32 GES31:GEX32 GOO31:GOT32 GYK31:GYP32 HIG31:HIL32 HSC31:HSH32 IBY31:ICD32 ILU31:ILZ32 IVQ31:IVV32 JFM31:JFR32 JPI31:JPN32 JZE31:JZJ32 KJA31:KJF32 KSW31:KTB32 LCS31:LCX32 LMO31:LMT32 LWK31:LWP32 MGG31:MGL32 MQC31:MQH32 MZY31:NAD32 NJU31:NJZ32 NTQ31:NTV32 ODM31:ODR32 ONI31:ONN32 OXE31:OXJ32 PHA31:PHF32 PQW31:PRB32 QAS31:QAX32 QKO31:QKT32 QUK31:QUP32 REG31:REL32 ROC31:ROH32 RXY31:RYD32 SHU31:SHZ32 SRQ31:SRV32 TBM31:TBR32 TLI31:TLN32 TVE31:TVJ32 UFA31:UFF32 UOW31:UPB32 UYS31:UYX32 VIO31:VIT32 VSK31:VSP32 WCG31:WCL32 WMC31:WMH32 WVY31:WWD32 Q65567:V65568 JM65567:JR65568 TI65567:TN65568 ADE65567:ADJ65568 ANA65567:ANF65568 AWW65567:AXB65568 BGS65567:BGX65568 BQO65567:BQT65568 CAK65567:CAP65568 CKG65567:CKL65568 CUC65567:CUH65568 DDY65567:DED65568 DNU65567:DNZ65568 DXQ65567:DXV65568 EHM65567:EHR65568 ERI65567:ERN65568 FBE65567:FBJ65568 FLA65567:FLF65568 FUW65567:FVB65568 GES65567:GEX65568 GOO65567:GOT65568 GYK65567:GYP65568 HIG65567:HIL65568 HSC65567:HSH65568 IBY65567:ICD65568 ILU65567:ILZ65568 IVQ65567:IVV65568 JFM65567:JFR65568 JPI65567:JPN65568 JZE65567:JZJ65568 KJA65567:KJF65568 KSW65567:KTB65568 LCS65567:LCX65568 LMO65567:LMT65568 LWK65567:LWP65568 MGG65567:MGL65568 MQC65567:MQH65568 MZY65567:NAD65568 NJU65567:NJZ65568 NTQ65567:NTV65568 ODM65567:ODR65568 ONI65567:ONN65568 OXE65567:OXJ65568 PHA65567:PHF65568 PQW65567:PRB65568 QAS65567:QAX65568 QKO65567:QKT65568 QUK65567:QUP65568 REG65567:REL65568 ROC65567:ROH65568 RXY65567:RYD65568 SHU65567:SHZ65568 SRQ65567:SRV65568 TBM65567:TBR65568 TLI65567:TLN65568 TVE65567:TVJ65568 UFA65567:UFF65568 UOW65567:UPB65568 UYS65567:UYX65568 VIO65567:VIT65568 VSK65567:VSP65568 WCG65567:WCL65568 WMC65567:WMH65568 WVY65567:WWD65568 Q131103:V131104 JM131103:JR131104 TI131103:TN131104 ADE131103:ADJ131104 ANA131103:ANF131104 AWW131103:AXB131104 BGS131103:BGX131104 BQO131103:BQT131104 CAK131103:CAP131104 CKG131103:CKL131104 CUC131103:CUH131104 DDY131103:DED131104 DNU131103:DNZ131104 DXQ131103:DXV131104 EHM131103:EHR131104 ERI131103:ERN131104 FBE131103:FBJ131104 FLA131103:FLF131104 FUW131103:FVB131104 GES131103:GEX131104 GOO131103:GOT131104 GYK131103:GYP131104 HIG131103:HIL131104 HSC131103:HSH131104 IBY131103:ICD131104 ILU131103:ILZ131104 IVQ131103:IVV131104 JFM131103:JFR131104 JPI131103:JPN131104 JZE131103:JZJ131104 KJA131103:KJF131104 KSW131103:KTB131104 LCS131103:LCX131104 LMO131103:LMT131104 LWK131103:LWP131104 MGG131103:MGL131104 MQC131103:MQH131104 MZY131103:NAD131104 NJU131103:NJZ131104 NTQ131103:NTV131104 ODM131103:ODR131104 ONI131103:ONN131104 OXE131103:OXJ131104 PHA131103:PHF131104 PQW131103:PRB131104 QAS131103:QAX131104 QKO131103:QKT131104 QUK131103:QUP131104 REG131103:REL131104 ROC131103:ROH131104 RXY131103:RYD131104 SHU131103:SHZ131104 SRQ131103:SRV131104 TBM131103:TBR131104 TLI131103:TLN131104 TVE131103:TVJ131104 UFA131103:UFF131104 UOW131103:UPB131104 UYS131103:UYX131104 VIO131103:VIT131104 VSK131103:VSP131104 WCG131103:WCL131104 WMC131103:WMH131104 WVY131103:WWD131104 Q196639:V196640 JM196639:JR196640 TI196639:TN196640 ADE196639:ADJ196640 ANA196639:ANF196640 AWW196639:AXB196640 BGS196639:BGX196640 BQO196639:BQT196640 CAK196639:CAP196640 CKG196639:CKL196640 CUC196639:CUH196640 DDY196639:DED196640 DNU196639:DNZ196640 DXQ196639:DXV196640 EHM196639:EHR196640 ERI196639:ERN196640 FBE196639:FBJ196640 FLA196639:FLF196640 FUW196639:FVB196640 GES196639:GEX196640 GOO196639:GOT196640 GYK196639:GYP196640 HIG196639:HIL196640 HSC196639:HSH196640 IBY196639:ICD196640 ILU196639:ILZ196640 IVQ196639:IVV196640 JFM196639:JFR196640 JPI196639:JPN196640 JZE196639:JZJ196640 KJA196639:KJF196640 KSW196639:KTB196640 LCS196639:LCX196640 LMO196639:LMT196640 LWK196639:LWP196640 MGG196639:MGL196640 MQC196639:MQH196640 MZY196639:NAD196640 NJU196639:NJZ196640 NTQ196639:NTV196640 ODM196639:ODR196640 ONI196639:ONN196640 OXE196639:OXJ196640 PHA196639:PHF196640 PQW196639:PRB196640 QAS196639:QAX196640 QKO196639:QKT196640 QUK196639:QUP196640 REG196639:REL196640 ROC196639:ROH196640 RXY196639:RYD196640 SHU196639:SHZ196640 SRQ196639:SRV196640 TBM196639:TBR196640 TLI196639:TLN196640 TVE196639:TVJ196640 UFA196639:UFF196640 UOW196639:UPB196640 UYS196639:UYX196640 VIO196639:VIT196640 VSK196639:VSP196640 WCG196639:WCL196640 WMC196639:WMH196640 WVY196639:WWD196640 Q262175:V262176 JM262175:JR262176 TI262175:TN262176 ADE262175:ADJ262176 ANA262175:ANF262176 AWW262175:AXB262176 BGS262175:BGX262176 BQO262175:BQT262176 CAK262175:CAP262176 CKG262175:CKL262176 CUC262175:CUH262176 DDY262175:DED262176 DNU262175:DNZ262176 DXQ262175:DXV262176 EHM262175:EHR262176 ERI262175:ERN262176 FBE262175:FBJ262176 FLA262175:FLF262176 FUW262175:FVB262176 GES262175:GEX262176 GOO262175:GOT262176 GYK262175:GYP262176 HIG262175:HIL262176 HSC262175:HSH262176 IBY262175:ICD262176 ILU262175:ILZ262176 IVQ262175:IVV262176 JFM262175:JFR262176 JPI262175:JPN262176 JZE262175:JZJ262176 KJA262175:KJF262176 KSW262175:KTB262176 LCS262175:LCX262176 LMO262175:LMT262176 LWK262175:LWP262176 MGG262175:MGL262176 MQC262175:MQH262176 MZY262175:NAD262176 NJU262175:NJZ262176 NTQ262175:NTV262176 ODM262175:ODR262176 ONI262175:ONN262176 OXE262175:OXJ262176 PHA262175:PHF262176 PQW262175:PRB262176 QAS262175:QAX262176 QKO262175:QKT262176 QUK262175:QUP262176 REG262175:REL262176 ROC262175:ROH262176 RXY262175:RYD262176 SHU262175:SHZ262176 SRQ262175:SRV262176 TBM262175:TBR262176 TLI262175:TLN262176 TVE262175:TVJ262176 UFA262175:UFF262176 UOW262175:UPB262176 UYS262175:UYX262176 VIO262175:VIT262176 VSK262175:VSP262176 WCG262175:WCL262176 WMC262175:WMH262176 WVY262175:WWD262176 Q327711:V327712 JM327711:JR327712 TI327711:TN327712 ADE327711:ADJ327712 ANA327711:ANF327712 AWW327711:AXB327712 BGS327711:BGX327712 BQO327711:BQT327712 CAK327711:CAP327712 CKG327711:CKL327712 CUC327711:CUH327712 DDY327711:DED327712 DNU327711:DNZ327712 DXQ327711:DXV327712 EHM327711:EHR327712 ERI327711:ERN327712 FBE327711:FBJ327712 FLA327711:FLF327712 FUW327711:FVB327712 GES327711:GEX327712 GOO327711:GOT327712 GYK327711:GYP327712 HIG327711:HIL327712 HSC327711:HSH327712 IBY327711:ICD327712 ILU327711:ILZ327712 IVQ327711:IVV327712 JFM327711:JFR327712 JPI327711:JPN327712 JZE327711:JZJ327712 KJA327711:KJF327712 KSW327711:KTB327712 LCS327711:LCX327712 LMO327711:LMT327712 LWK327711:LWP327712 MGG327711:MGL327712 MQC327711:MQH327712 MZY327711:NAD327712 NJU327711:NJZ327712 NTQ327711:NTV327712 ODM327711:ODR327712 ONI327711:ONN327712 OXE327711:OXJ327712 PHA327711:PHF327712 PQW327711:PRB327712 QAS327711:QAX327712 QKO327711:QKT327712 QUK327711:QUP327712 REG327711:REL327712 ROC327711:ROH327712 RXY327711:RYD327712 SHU327711:SHZ327712 SRQ327711:SRV327712 TBM327711:TBR327712 TLI327711:TLN327712 TVE327711:TVJ327712 UFA327711:UFF327712 UOW327711:UPB327712 UYS327711:UYX327712 VIO327711:VIT327712 VSK327711:VSP327712 WCG327711:WCL327712 WMC327711:WMH327712 WVY327711:WWD327712 Q393247:V393248 JM393247:JR393248 TI393247:TN393248 ADE393247:ADJ393248 ANA393247:ANF393248 AWW393247:AXB393248 BGS393247:BGX393248 BQO393247:BQT393248 CAK393247:CAP393248 CKG393247:CKL393248 CUC393247:CUH393248 DDY393247:DED393248 DNU393247:DNZ393248 DXQ393247:DXV393248 EHM393247:EHR393248 ERI393247:ERN393248 FBE393247:FBJ393248 FLA393247:FLF393248 FUW393247:FVB393248 GES393247:GEX393248 GOO393247:GOT393248 GYK393247:GYP393248 HIG393247:HIL393248 HSC393247:HSH393248 IBY393247:ICD393248 ILU393247:ILZ393248 IVQ393247:IVV393248 JFM393247:JFR393248 JPI393247:JPN393248 JZE393247:JZJ393248 KJA393247:KJF393248 KSW393247:KTB393248 LCS393247:LCX393248 LMO393247:LMT393248 LWK393247:LWP393248 MGG393247:MGL393248 MQC393247:MQH393248 MZY393247:NAD393248 NJU393247:NJZ393248 NTQ393247:NTV393248 ODM393247:ODR393248 ONI393247:ONN393248 OXE393247:OXJ393248 PHA393247:PHF393248 PQW393247:PRB393248 QAS393247:QAX393248 QKO393247:QKT393248 QUK393247:QUP393248 REG393247:REL393248 ROC393247:ROH393248 RXY393247:RYD393248 SHU393247:SHZ393248 SRQ393247:SRV393248 TBM393247:TBR393248 TLI393247:TLN393248 TVE393247:TVJ393248 UFA393247:UFF393248 UOW393247:UPB393248 UYS393247:UYX393248 VIO393247:VIT393248 VSK393247:VSP393248 WCG393247:WCL393248 WMC393247:WMH393248 WVY393247:WWD393248 Q458783:V458784 JM458783:JR458784 TI458783:TN458784 ADE458783:ADJ458784 ANA458783:ANF458784 AWW458783:AXB458784 BGS458783:BGX458784 BQO458783:BQT458784 CAK458783:CAP458784 CKG458783:CKL458784 CUC458783:CUH458784 DDY458783:DED458784 DNU458783:DNZ458784 DXQ458783:DXV458784 EHM458783:EHR458784 ERI458783:ERN458784 FBE458783:FBJ458784 FLA458783:FLF458784 FUW458783:FVB458784 GES458783:GEX458784 GOO458783:GOT458784 GYK458783:GYP458784 HIG458783:HIL458784 HSC458783:HSH458784 IBY458783:ICD458784 ILU458783:ILZ458784 IVQ458783:IVV458784 JFM458783:JFR458784 JPI458783:JPN458784 JZE458783:JZJ458784 KJA458783:KJF458784 KSW458783:KTB458784 LCS458783:LCX458784 LMO458783:LMT458784 LWK458783:LWP458784 MGG458783:MGL458784 MQC458783:MQH458784 MZY458783:NAD458784 NJU458783:NJZ458784 NTQ458783:NTV458784 ODM458783:ODR458784 ONI458783:ONN458784 OXE458783:OXJ458784 PHA458783:PHF458784 PQW458783:PRB458784 QAS458783:QAX458784 QKO458783:QKT458784 QUK458783:QUP458784 REG458783:REL458784 ROC458783:ROH458784 RXY458783:RYD458784 SHU458783:SHZ458784 SRQ458783:SRV458784 TBM458783:TBR458784 TLI458783:TLN458784 TVE458783:TVJ458784 UFA458783:UFF458784 UOW458783:UPB458784 UYS458783:UYX458784 VIO458783:VIT458784 VSK458783:VSP458784 WCG458783:WCL458784 WMC458783:WMH458784 WVY458783:WWD458784 Q524319:V524320 JM524319:JR524320 TI524319:TN524320 ADE524319:ADJ524320 ANA524319:ANF524320 AWW524319:AXB524320 BGS524319:BGX524320 BQO524319:BQT524320 CAK524319:CAP524320 CKG524319:CKL524320 CUC524319:CUH524320 DDY524319:DED524320 DNU524319:DNZ524320 DXQ524319:DXV524320 EHM524319:EHR524320 ERI524319:ERN524320 FBE524319:FBJ524320 FLA524319:FLF524320 FUW524319:FVB524320 GES524319:GEX524320 GOO524319:GOT524320 GYK524319:GYP524320 HIG524319:HIL524320 HSC524319:HSH524320 IBY524319:ICD524320 ILU524319:ILZ524320 IVQ524319:IVV524320 JFM524319:JFR524320 JPI524319:JPN524320 JZE524319:JZJ524320 KJA524319:KJF524320 KSW524319:KTB524320 LCS524319:LCX524320 LMO524319:LMT524320 LWK524319:LWP524320 MGG524319:MGL524320 MQC524319:MQH524320 MZY524319:NAD524320 NJU524319:NJZ524320 NTQ524319:NTV524320 ODM524319:ODR524320 ONI524319:ONN524320 OXE524319:OXJ524320 PHA524319:PHF524320 PQW524319:PRB524320 QAS524319:QAX524320 QKO524319:QKT524320 QUK524319:QUP524320 REG524319:REL524320 ROC524319:ROH524320 RXY524319:RYD524320 SHU524319:SHZ524320 SRQ524319:SRV524320 TBM524319:TBR524320 TLI524319:TLN524320 TVE524319:TVJ524320 UFA524319:UFF524320 UOW524319:UPB524320 UYS524319:UYX524320 VIO524319:VIT524320 VSK524319:VSP524320 WCG524319:WCL524320 WMC524319:WMH524320 WVY524319:WWD524320 Q589855:V589856 JM589855:JR589856 TI589855:TN589856 ADE589855:ADJ589856 ANA589855:ANF589856 AWW589855:AXB589856 BGS589855:BGX589856 BQO589855:BQT589856 CAK589855:CAP589856 CKG589855:CKL589856 CUC589855:CUH589856 DDY589855:DED589856 DNU589855:DNZ589856 DXQ589855:DXV589856 EHM589855:EHR589856 ERI589855:ERN589856 FBE589855:FBJ589856 FLA589855:FLF589856 FUW589855:FVB589856 GES589855:GEX589856 GOO589855:GOT589856 GYK589855:GYP589856 HIG589855:HIL589856 HSC589855:HSH589856 IBY589855:ICD589856 ILU589855:ILZ589856 IVQ589855:IVV589856 JFM589855:JFR589856 JPI589855:JPN589856 JZE589855:JZJ589856 KJA589855:KJF589856 KSW589855:KTB589856 LCS589855:LCX589856 LMO589855:LMT589856 LWK589855:LWP589856 MGG589855:MGL589856 MQC589855:MQH589856 MZY589855:NAD589856 NJU589855:NJZ589856 NTQ589855:NTV589856 ODM589855:ODR589856 ONI589855:ONN589856 OXE589855:OXJ589856 PHA589855:PHF589856 PQW589855:PRB589856 QAS589855:QAX589856 QKO589855:QKT589856 QUK589855:QUP589856 REG589855:REL589856 ROC589855:ROH589856 RXY589855:RYD589856 SHU589855:SHZ589856 SRQ589855:SRV589856 TBM589855:TBR589856 TLI589855:TLN589856 TVE589855:TVJ589856 UFA589855:UFF589856 UOW589855:UPB589856 UYS589855:UYX589856 VIO589855:VIT589856 VSK589855:VSP589856 WCG589855:WCL589856 WMC589855:WMH589856 WVY589855:WWD589856 Q655391:V655392 JM655391:JR655392 TI655391:TN655392 ADE655391:ADJ655392 ANA655391:ANF655392 AWW655391:AXB655392 BGS655391:BGX655392 BQO655391:BQT655392 CAK655391:CAP655392 CKG655391:CKL655392 CUC655391:CUH655392 DDY655391:DED655392 DNU655391:DNZ655392 DXQ655391:DXV655392 EHM655391:EHR655392 ERI655391:ERN655392 FBE655391:FBJ655392 FLA655391:FLF655392 FUW655391:FVB655392 GES655391:GEX655392 GOO655391:GOT655392 GYK655391:GYP655392 HIG655391:HIL655392 HSC655391:HSH655392 IBY655391:ICD655392 ILU655391:ILZ655392 IVQ655391:IVV655392 JFM655391:JFR655392 JPI655391:JPN655392 JZE655391:JZJ655392 KJA655391:KJF655392 KSW655391:KTB655392 LCS655391:LCX655392 LMO655391:LMT655392 LWK655391:LWP655392 MGG655391:MGL655392 MQC655391:MQH655392 MZY655391:NAD655392 NJU655391:NJZ655392 NTQ655391:NTV655392 ODM655391:ODR655392 ONI655391:ONN655392 OXE655391:OXJ655392 PHA655391:PHF655392 PQW655391:PRB655392 QAS655391:QAX655392 QKO655391:QKT655392 QUK655391:QUP655392 REG655391:REL655392 ROC655391:ROH655392 RXY655391:RYD655392 SHU655391:SHZ655392 SRQ655391:SRV655392 TBM655391:TBR655392 TLI655391:TLN655392 TVE655391:TVJ655392 UFA655391:UFF655392 UOW655391:UPB655392 UYS655391:UYX655392 VIO655391:VIT655392 VSK655391:VSP655392 WCG655391:WCL655392 WMC655391:WMH655392 WVY655391:WWD655392 Q720927:V720928 JM720927:JR720928 TI720927:TN720928 ADE720927:ADJ720928 ANA720927:ANF720928 AWW720927:AXB720928 BGS720927:BGX720928 BQO720927:BQT720928 CAK720927:CAP720928 CKG720927:CKL720928 CUC720927:CUH720928 DDY720927:DED720928 DNU720927:DNZ720928 DXQ720927:DXV720928 EHM720927:EHR720928 ERI720927:ERN720928 FBE720927:FBJ720928 FLA720927:FLF720928 FUW720927:FVB720928 GES720927:GEX720928 GOO720927:GOT720928 GYK720927:GYP720928 HIG720927:HIL720928 HSC720927:HSH720928 IBY720927:ICD720928 ILU720927:ILZ720928 IVQ720927:IVV720928 JFM720927:JFR720928 JPI720927:JPN720928 JZE720927:JZJ720928 KJA720927:KJF720928 KSW720927:KTB720928 LCS720927:LCX720928 LMO720927:LMT720928 LWK720927:LWP720928 MGG720927:MGL720928 MQC720927:MQH720928 MZY720927:NAD720928 NJU720927:NJZ720928 NTQ720927:NTV720928 ODM720927:ODR720928 ONI720927:ONN720928 OXE720927:OXJ720928 PHA720927:PHF720928 PQW720927:PRB720928 QAS720927:QAX720928 QKO720927:QKT720928 QUK720927:QUP720928 REG720927:REL720928 ROC720927:ROH720928 RXY720927:RYD720928 SHU720927:SHZ720928 SRQ720927:SRV720928 TBM720927:TBR720928 TLI720927:TLN720928 TVE720927:TVJ720928 UFA720927:UFF720928 UOW720927:UPB720928 UYS720927:UYX720928 VIO720927:VIT720928 VSK720927:VSP720928 WCG720927:WCL720928 WMC720927:WMH720928 WVY720927:WWD720928 Q786463:V786464 JM786463:JR786464 TI786463:TN786464 ADE786463:ADJ786464 ANA786463:ANF786464 AWW786463:AXB786464 BGS786463:BGX786464 BQO786463:BQT786464 CAK786463:CAP786464 CKG786463:CKL786464 CUC786463:CUH786464 DDY786463:DED786464 DNU786463:DNZ786464 DXQ786463:DXV786464 EHM786463:EHR786464 ERI786463:ERN786464 FBE786463:FBJ786464 FLA786463:FLF786464 FUW786463:FVB786464 GES786463:GEX786464 GOO786463:GOT786464 GYK786463:GYP786464 HIG786463:HIL786464 HSC786463:HSH786464 IBY786463:ICD786464 ILU786463:ILZ786464 IVQ786463:IVV786464 JFM786463:JFR786464 JPI786463:JPN786464 JZE786463:JZJ786464 KJA786463:KJF786464 KSW786463:KTB786464 LCS786463:LCX786464 LMO786463:LMT786464 LWK786463:LWP786464 MGG786463:MGL786464 MQC786463:MQH786464 MZY786463:NAD786464 NJU786463:NJZ786464 NTQ786463:NTV786464 ODM786463:ODR786464 ONI786463:ONN786464 OXE786463:OXJ786464 PHA786463:PHF786464 PQW786463:PRB786464 QAS786463:QAX786464 QKO786463:QKT786464 QUK786463:QUP786464 REG786463:REL786464 ROC786463:ROH786464 RXY786463:RYD786464 SHU786463:SHZ786464 SRQ786463:SRV786464 TBM786463:TBR786464 TLI786463:TLN786464 TVE786463:TVJ786464 UFA786463:UFF786464 UOW786463:UPB786464 UYS786463:UYX786464 VIO786463:VIT786464 VSK786463:VSP786464 WCG786463:WCL786464 WMC786463:WMH786464 WVY786463:WWD786464 Q851999:V852000 JM851999:JR852000 TI851999:TN852000 ADE851999:ADJ852000 ANA851999:ANF852000 AWW851999:AXB852000 BGS851999:BGX852000 BQO851999:BQT852000 CAK851999:CAP852000 CKG851999:CKL852000 CUC851999:CUH852000 DDY851999:DED852000 DNU851999:DNZ852000 DXQ851999:DXV852000 EHM851999:EHR852000 ERI851999:ERN852000 FBE851999:FBJ852000 FLA851999:FLF852000 FUW851999:FVB852000 GES851999:GEX852000 GOO851999:GOT852000 GYK851999:GYP852000 HIG851999:HIL852000 HSC851999:HSH852000 IBY851999:ICD852000 ILU851999:ILZ852000 IVQ851999:IVV852000 JFM851999:JFR852000 JPI851999:JPN852000 JZE851999:JZJ852000 KJA851999:KJF852000 KSW851999:KTB852000 LCS851999:LCX852000 LMO851999:LMT852000 LWK851999:LWP852000 MGG851999:MGL852000 MQC851999:MQH852000 MZY851999:NAD852000 NJU851999:NJZ852000 NTQ851999:NTV852000 ODM851999:ODR852000 ONI851999:ONN852000 OXE851999:OXJ852000 PHA851999:PHF852000 PQW851999:PRB852000 QAS851999:QAX852000 QKO851999:QKT852000 QUK851999:QUP852000 REG851999:REL852000 ROC851999:ROH852000 RXY851999:RYD852000 SHU851999:SHZ852000 SRQ851999:SRV852000 TBM851999:TBR852000 TLI851999:TLN852000 TVE851999:TVJ852000 UFA851999:UFF852000 UOW851999:UPB852000 UYS851999:UYX852000 VIO851999:VIT852000 VSK851999:VSP852000 WCG851999:WCL852000 WMC851999:WMH852000 WVY851999:WWD852000 Q917535:V917536 JM917535:JR917536 TI917535:TN917536 ADE917535:ADJ917536 ANA917535:ANF917536 AWW917535:AXB917536 BGS917535:BGX917536 BQO917535:BQT917536 CAK917535:CAP917536 CKG917535:CKL917536 CUC917535:CUH917536 DDY917535:DED917536 DNU917535:DNZ917536 DXQ917535:DXV917536 EHM917535:EHR917536 ERI917535:ERN917536 FBE917535:FBJ917536 FLA917535:FLF917536 FUW917535:FVB917536 GES917535:GEX917536 GOO917535:GOT917536 GYK917535:GYP917536 HIG917535:HIL917536 HSC917535:HSH917536 IBY917535:ICD917536 ILU917535:ILZ917536 IVQ917535:IVV917536 JFM917535:JFR917536 JPI917535:JPN917536 JZE917535:JZJ917536 KJA917535:KJF917536 KSW917535:KTB917536 LCS917535:LCX917536 LMO917535:LMT917536 LWK917535:LWP917536 MGG917535:MGL917536 MQC917535:MQH917536 MZY917535:NAD917536 NJU917535:NJZ917536 NTQ917535:NTV917536 ODM917535:ODR917536 ONI917535:ONN917536 OXE917535:OXJ917536 PHA917535:PHF917536 PQW917535:PRB917536 QAS917535:QAX917536 QKO917535:QKT917536 QUK917535:QUP917536 REG917535:REL917536 ROC917535:ROH917536 RXY917535:RYD917536 SHU917535:SHZ917536 SRQ917535:SRV917536 TBM917535:TBR917536 TLI917535:TLN917536 TVE917535:TVJ917536 UFA917535:UFF917536 UOW917535:UPB917536 UYS917535:UYX917536 VIO917535:VIT917536 VSK917535:VSP917536 WCG917535:WCL917536 WMC917535:WMH917536 WVY917535:WWD917536 Q983071:V983072 JM983071:JR983072 TI983071:TN983072 ADE983071:ADJ983072 ANA983071:ANF983072 AWW983071:AXB983072 BGS983071:BGX983072 BQO983071:BQT983072 CAK983071:CAP983072 CKG983071:CKL983072 CUC983071:CUH983072 DDY983071:DED983072 DNU983071:DNZ983072 DXQ983071:DXV983072 EHM983071:EHR983072 ERI983071:ERN983072 FBE983071:FBJ983072 FLA983071:FLF983072 FUW983071:FVB983072 GES983071:GEX983072 GOO983071:GOT983072 GYK983071:GYP983072 HIG983071:HIL983072 HSC983071:HSH983072 IBY983071:ICD983072 ILU983071:ILZ983072 IVQ983071:IVV983072 JFM983071:JFR983072 JPI983071:JPN983072 JZE983071:JZJ983072 KJA983071:KJF983072 KSW983071:KTB983072 LCS983071:LCX983072 LMO983071:LMT983072 LWK983071:LWP983072 MGG983071:MGL983072 MQC983071:MQH983072 MZY983071:NAD983072 NJU983071:NJZ983072 NTQ983071:NTV983072 ODM983071:ODR983072 ONI983071:ONN983072 OXE983071:OXJ983072 PHA983071:PHF983072 PQW983071:PRB983072 QAS983071:QAX983072 QKO983071:QKT983072 QUK983071:QUP983072 REG983071:REL983072 ROC983071:ROH983072 RXY983071:RYD983072 SHU983071:SHZ983072 SRQ983071:SRV983072 TBM983071:TBR983072 TLI983071:TLN983072 TVE983071:TVJ983072 UFA983071:UFF983072 UOW983071:UPB983072 UYS983071:UYX983072 VIO983071:VIT983072 VSK983071:VSP983072 WCG983071:WCL983072 WMC983071:WMH983072 WVY983071:WWD983072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5117038483843"/>
  </sheetPr>
  <dimension ref="A1:AL177"/>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1967" t="s">
        <v>2829</v>
      </c>
      <c r="B1" s="1967"/>
      <c r="C1" s="1967"/>
      <c r="D1" s="1967"/>
      <c r="E1" s="1967"/>
      <c r="F1" s="1967"/>
      <c r="G1" s="1967"/>
      <c r="H1" s="1967"/>
      <c r="I1" s="1967"/>
      <c r="J1" s="1967"/>
      <c r="K1" s="1967"/>
      <c r="L1" s="1967"/>
      <c r="M1" s="1967"/>
      <c r="N1" s="1967"/>
      <c r="O1" s="1967"/>
      <c r="P1" s="1967"/>
      <c r="Q1" s="1967"/>
      <c r="R1" s="1967"/>
      <c r="S1" s="1967"/>
      <c r="T1" s="1967"/>
      <c r="U1" s="1967"/>
      <c r="V1" s="1967"/>
      <c r="W1" s="1967"/>
      <c r="X1" s="1967"/>
      <c r="AH1" s="859" t="s">
        <v>3093</v>
      </c>
      <c r="AI1" s="859"/>
    </row>
    <row r="2" spans="1:38" ht="13.5">
      <c r="A2" s="1967"/>
      <c r="B2" s="1967"/>
      <c r="C2" s="1967"/>
      <c r="D2" s="1967"/>
      <c r="E2" s="1967"/>
      <c r="F2" s="1967"/>
      <c r="G2" s="1967"/>
      <c r="H2" s="1967"/>
      <c r="I2" s="1967"/>
      <c r="J2" s="1967"/>
      <c r="K2" s="1967"/>
      <c r="L2" s="1967"/>
      <c r="M2" s="1967"/>
      <c r="N2" s="1967"/>
      <c r="O2" s="1967"/>
      <c r="P2" s="1967"/>
      <c r="Q2" s="1967"/>
      <c r="R2" s="1967"/>
      <c r="S2" s="1967"/>
      <c r="T2" s="1967"/>
      <c r="U2" s="1967"/>
      <c r="V2" s="1967"/>
      <c r="W2" s="1967"/>
      <c r="X2" s="1967"/>
      <c r="AH2" s="860" t="s">
        <v>2845</v>
      </c>
      <c r="AI2" s="859"/>
    </row>
    <row r="3" spans="1:38" ht="17.25">
      <c r="A3" s="866"/>
      <c r="B3" s="866"/>
      <c r="C3" s="866"/>
      <c r="D3" s="866"/>
      <c r="E3" s="866"/>
      <c r="F3" s="866"/>
      <c r="G3" s="866"/>
      <c r="H3" s="866"/>
      <c r="I3" s="866"/>
      <c r="J3" s="866"/>
      <c r="K3" s="866"/>
      <c r="L3" s="866"/>
      <c r="M3" s="866"/>
      <c r="N3" s="866"/>
      <c r="O3" s="866"/>
      <c r="P3" s="866"/>
      <c r="Q3" s="866"/>
      <c r="R3" s="866"/>
      <c r="S3" s="866"/>
      <c r="T3" s="866"/>
      <c r="U3" s="866"/>
      <c r="V3" s="866"/>
      <c r="W3" s="866"/>
      <c r="X3" s="866"/>
      <c r="AH3" s="861" t="str">
        <f>HYPERLINK("#A1：X54")</f>
        <v>#A1：X54</v>
      </c>
      <c r="AI3" s="862" t="s">
        <v>3466</v>
      </c>
      <c r="AJ3" s="863"/>
      <c r="AK3" s="863"/>
      <c r="AL3" s="863"/>
    </row>
    <row r="4" spans="1:38" ht="13.5">
      <c r="Q4" s="2023" t="s">
        <v>3089</v>
      </c>
      <c r="R4" s="2023"/>
      <c r="S4" s="803"/>
      <c r="T4" s="867" t="s">
        <v>371</v>
      </c>
      <c r="U4" s="803"/>
      <c r="V4" s="867" t="s">
        <v>4</v>
      </c>
      <c r="W4" s="803"/>
      <c r="X4" s="867" t="s">
        <v>373</v>
      </c>
      <c r="AH4" s="861" t="str">
        <f>HYPERLINK("#A55：X108")</f>
        <v>#A55：X108</v>
      </c>
      <c r="AI4" s="864" t="s">
        <v>3485</v>
      </c>
      <c r="AJ4" s="865"/>
      <c r="AK4" s="865"/>
      <c r="AL4" s="865"/>
    </row>
    <row r="5" spans="1:38" ht="13.5">
      <c r="R5" s="868"/>
      <c r="S5" s="867"/>
      <c r="T5" s="867"/>
      <c r="U5" s="867"/>
      <c r="V5" s="867"/>
      <c r="W5" s="867"/>
      <c r="X5" s="867"/>
      <c r="AH5" s="861" t="str">
        <f>HYPERLINK("#A109：X162")</f>
        <v>#A109：X162</v>
      </c>
      <c r="AI5" s="864" t="s">
        <v>3586</v>
      </c>
      <c r="AJ5" s="865"/>
      <c r="AK5" s="865"/>
      <c r="AL5" s="865"/>
    </row>
    <row r="6" spans="1:38" ht="13.5">
      <c r="A6" s="857" t="str">
        <f ca="1">cst_Pre_Corp__SHINSEI</f>
        <v>一般財団法人　岩手県建築住宅センター</v>
      </c>
    </row>
    <row r="7" spans="1:38" ht="13.5">
      <c r="A7" s="857" t="str">
        <f ca="1">"　　"&amp;cst_Pre_Daihyou__SHINSEI&amp;"　様"</f>
        <v>　　理事長　　渡 邊 健 治　様</v>
      </c>
    </row>
    <row r="9" spans="1:38" ht="13.5">
      <c r="O9" s="868" t="s">
        <v>3587</v>
      </c>
      <c r="Q9" s="2024" t="str">
        <f>cst_wskakunin_owner1__space</f>
        <v/>
      </c>
      <c r="R9" s="2024"/>
      <c r="S9" s="2024"/>
      <c r="T9" s="2024"/>
      <c r="U9" s="2024"/>
      <c r="V9" s="2024"/>
      <c r="W9" s="2024"/>
      <c r="X9" s="867" t="s">
        <v>372</v>
      </c>
    </row>
    <row r="10" spans="1:38" ht="13.5">
      <c r="Q10" s="2024"/>
      <c r="R10" s="2024"/>
      <c r="S10" s="2024"/>
      <c r="T10" s="2024"/>
      <c r="U10" s="2024"/>
      <c r="V10" s="2024"/>
      <c r="W10" s="2024"/>
    </row>
    <row r="11" spans="1:38" ht="13.5">
      <c r="O11" s="868" t="s">
        <v>21</v>
      </c>
      <c r="Q11" s="2024" t="str">
        <f>cst_wskakunin_owner1__address</f>
        <v/>
      </c>
      <c r="R11" s="2024"/>
      <c r="S11" s="2024"/>
      <c r="T11" s="2024"/>
      <c r="U11" s="2024"/>
      <c r="V11" s="2024"/>
      <c r="W11" s="2024"/>
    </row>
    <row r="12" spans="1:38" ht="13.5">
      <c r="Q12" s="2024"/>
      <c r="R12" s="2024"/>
      <c r="S12" s="2024"/>
      <c r="T12" s="2024"/>
      <c r="U12" s="2024"/>
      <c r="V12" s="2024"/>
      <c r="W12" s="2024"/>
    </row>
    <row r="13" spans="1:38" ht="13.5">
      <c r="O13" s="868" t="s">
        <v>22</v>
      </c>
      <c r="Q13" s="2025" t="str">
        <f>cst_wskakunin_owner1_TEL</f>
        <v/>
      </c>
      <c r="R13" s="2025"/>
      <c r="S13" s="2025"/>
      <c r="T13" s="2025"/>
      <c r="U13" s="2025"/>
      <c r="V13" s="2025"/>
      <c r="W13" s="2025"/>
    </row>
    <row r="14" spans="1:38" ht="13.5">
      <c r="M14" s="857" t="s">
        <v>3588</v>
      </c>
    </row>
    <row r="15" spans="1:38" ht="13.5">
      <c r="O15" s="868" t="s">
        <v>3573</v>
      </c>
      <c r="Q15" s="2026"/>
      <c r="R15" s="2026"/>
      <c r="S15" s="2026"/>
      <c r="T15" s="2026"/>
      <c r="U15" s="2026"/>
      <c r="V15" s="2026"/>
      <c r="W15" s="2026"/>
      <c r="X15" s="867" t="s">
        <v>3574</v>
      </c>
    </row>
    <row r="16" spans="1:38" ht="13.5">
      <c r="Q16" s="2026"/>
      <c r="R16" s="2026"/>
      <c r="S16" s="2026"/>
      <c r="T16" s="2026"/>
      <c r="U16" s="2026"/>
      <c r="V16" s="2026"/>
      <c r="W16" s="2026"/>
      <c r="X16" s="867"/>
    </row>
    <row r="17" spans="1:24" ht="13.5">
      <c r="O17" s="868" t="s">
        <v>3575</v>
      </c>
      <c r="Q17" s="2027"/>
      <c r="R17" s="2027"/>
      <c r="S17" s="2027"/>
      <c r="T17" s="2027"/>
      <c r="U17" s="2027"/>
      <c r="V17" s="2027"/>
      <c r="W17" s="2027"/>
      <c r="X17" s="868" t="s">
        <v>3576</v>
      </c>
    </row>
    <row r="18" spans="1:24" ht="13.5">
      <c r="O18" s="868" t="s">
        <v>3589</v>
      </c>
      <c r="Q18" s="2026"/>
      <c r="R18" s="2026"/>
      <c r="S18" s="2026"/>
      <c r="T18" s="2026"/>
      <c r="U18" s="2026"/>
      <c r="V18" s="2026"/>
      <c r="W18" s="2026"/>
      <c r="X18" s="868" t="s">
        <v>3576</v>
      </c>
    </row>
    <row r="19" spans="1:24" ht="13.5">
      <c r="Q19" s="2026"/>
      <c r="R19" s="2026"/>
      <c r="S19" s="2026"/>
      <c r="T19" s="2026"/>
      <c r="U19" s="2026"/>
      <c r="V19" s="2026"/>
      <c r="W19" s="2026"/>
      <c r="X19" s="868"/>
    </row>
    <row r="20" spans="1:24" ht="13.5">
      <c r="O20" s="868" t="s">
        <v>3590</v>
      </c>
      <c r="Q20" s="2028"/>
      <c r="R20" s="2028"/>
      <c r="S20" s="2028"/>
      <c r="T20" s="2028"/>
      <c r="U20" s="2028"/>
      <c r="V20" s="2028"/>
      <c r="W20" s="2028"/>
      <c r="X20" s="868" t="s">
        <v>3576</v>
      </c>
    </row>
    <row r="23" spans="1:24" ht="13.5">
      <c r="A23" s="857" t="s">
        <v>3591</v>
      </c>
    </row>
    <row r="25" spans="1:24" ht="13.5">
      <c r="A25" s="1970" t="s">
        <v>0</v>
      </c>
      <c r="B25" s="1970"/>
      <c r="C25" s="1970"/>
      <c r="D25" s="1970"/>
      <c r="E25" s="1970"/>
      <c r="F25" s="1970"/>
      <c r="G25" s="1970"/>
      <c r="H25" s="1970"/>
      <c r="I25" s="1970"/>
      <c r="J25" s="1970"/>
      <c r="K25" s="1970"/>
      <c r="L25" s="1970"/>
      <c r="M25" s="1970"/>
      <c r="N25" s="1970"/>
      <c r="O25" s="1970"/>
      <c r="P25" s="1970"/>
      <c r="Q25" s="1970"/>
      <c r="R25" s="1970"/>
      <c r="S25" s="1970"/>
      <c r="T25" s="1970"/>
      <c r="U25" s="1970"/>
      <c r="V25" s="1970"/>
      <c r="W25" s="1970"/>
      <c r="X25" s="1970"/>
    </row>
    <row r="27" spans="1:24" ht="13.5">
      <c r="B27" s="857" t="s">
        <v>3592</v>
      </c>
    </row>
    <row r="28" spans="1:24" ht="13.5">
      <c r="D28" s="907"/>
      <c r="E28" s="908" t="s">
        <v>3593</v>
      </c>
      <c r="F28" s="908"/>
      <c r="G28" s="908"/>
      <c r="H28" s="907"/>
      <c r="I28" s="908" t="s">
        <v>2806</v>
      </c>
      <c r="J28" s="908"/>
      <c r="K28" s="908"/>
      <c r="L28" s="857" t="s">
        <v>3594</v>
      </c>
    </row>
    <row r="30" spans="1:24" ht="13.5">
      <c r="B30" s="857" t="s">
        <v>3581</v>
      </c>
    </row>
    <row r="31" spans="1:24" ht="13.5">
      <c r="D31" s="2024" t="str">
        <f>cst_wskakunin_BUILD__address</f>
        <v/>
      </c>
      <c r="E31" s="2024"/>
      <c r="F31" s="2024"/>
      <c r="G31" s="2024"/>
      <c r="H31" s="2024"/>
      <c r="I31" s="2024"/>
      <c r="J31" s="2024"/>
      <c r="K31" s="2024"/>
      <c r="L31" s="2024"/>
      <c r="M31" s="2024"/>
      <c r="N31" s="2024"/>
      <c r="O31" s="2024"/>
      <c r="P31" s="2024"/>
      <c r="Q31" s="2024"/>
      <c r="R31" s="2024"/>
      <c r="S31" s="2024"/>
      <c r="T31" s="2024"/>
      <c r="U31" s="2024"/>
      <c r="V31" s="2024"/>
      <c r="W31" s="2024"/>
    </row>
    <row r="32" spans="1:24" ht="13.5">
      <c r="D32" s="2029"/>
      <c r="E32" s="2029"/>
      <c r="F32" s="2029"/>
      <c r="G32" s="2029"/>
      <c r="H32" s="2029"/>
      <c r="I32" s="2029"/>
      <c r="J32" s="2029"/>
      <c r="K32" s="2029"/>
      <c r="L32" s="2029"/>
      <c r="M32" s="2029"/>
      <c r="N32" s="2029"/>
      <c r="O32" s="2029"/>
      <c r="P32" s="2029"/>
      <c r="Q32" s="2029"/>
      <c r="R32" s="2029"/>
      <c r="S32" s="2029"/>
      <c r="T32" s="2029"/>
      <c r="U32" s="2029"/>
      <c r="V32" s="2029"/>
      <c r="W32" s="2029"/>
    </row>
    <row r="34" spans="1:24" ht="13.5">
      <c r="B34" s="857" t="s">
        <v>3595</v>
      </c>
    </row>
    <row r="35" spans="1:24" ht="13.5">
      <c r="D35" s="2021" t="str">
        <f>IF(目次・入力シート!$BJ$33="","「目次･入力シート」に入力してください",目次・入力シート!$BJ$33)</f>
        <v>「目次･入力シート」に入力してください</v>
      </c>
      <c r="E35" s="2021"/>
      <c r="F35" s="2021"/>
      <c r="G35" s="2021"/>
      <c r="H35" s="2021"/>
      <c r="I35" s="2021"/>
      <c r="J35" s="2021"/>
      <c r="K35" s="2021"/>
      <c r="L35" s="908"/>
      <c r="M35" s="909" t="s">
        <v>374</v>
      </c>
      <c r="N35" s="2022" t="str">
        <f>IF(目次・入力シート!$BK$31="","「目次･入力シート」に入力してください",目次・入力シート!$BK$31)</f>
        <v>「目次･入力シート」に入力してください</v>
      </c>
      <c r="O35" s="2022"/>
      <c r="P35" s="2022"/>
      <c r="Q35" s="2022"/>
      <c r="R35" s="2022"/>
      <c r="S35" s="2022"/>
      <c r="T35" s="910" t="s">
        <v>375</v>
      </c>
      <c r="U35" s="908"/>
      <c r="V35" s="908"/>
      <c r="W35" s="908"/>
    </row>
    <row r="37" spans="1:24" ht="13.5">
      <c r="B37" s="857" t="s">
        <v>3596</v>
      </c>
    </row>
    <row r="38" spans="1:24" ht="13.5">
      <c r="D38" s="2021" t="str">
        <f>IF(目次・入力シート!BJ71="","「目次･入力シート」に入力してください",目次・入力シート!BJ71)</f>
        <v>「目次･入力シート」に入力してください</v>
      </c>
      <c r="E38" s="2021"/>
      <c r="F38" s="2021"/>
      <c r="G38" s="2021"/>
      <c r="H38" s="2021"/>
      <c r="I38" s="2021"/>
      <c r="J38" s="2021"/>
      <c r="K38" s="2021"/>
      <c r="L38" s="908"/>
      <c r="M38" s="909" t="s">
        <v>374</v>
      </c>
      <c r="N38" s="2022" t="str">
        <f>IF(目次・入力シート!BK69="","「目次･入力シート」に入力してください",目次・入力シート!BK69)</f>
        <v>「目次･入力シート」に入力してください</v>
      </c>
      <c r="O38" s="2022"/>
      <c r="P38" s="2022"/>
      <c r="Q38" s="2022"/>
      <c r="R38" s="2022"/>
      <c r="S38" s="2022"/>
      <c r="T38" s="910" t="s">
        <v>375</v>
      </c>
      <c r="U38" s="908"/>
      <c r="V38" s="908"/>
      <c r="W38" s="908"/>
    </row>
    <row r="39" spans="1:24" ht="13.5">
      <c r="A39" s="867"/>
      <c r="B39" s="867"/>
      <c r="C39" s="867"/>
      <c r="D39" s="867"/>
      <c r="E39" s="867"/>
      <c r="F39" s="867"/>
      <c r="G39" s="867"/>
      <c r="H39" s="867"/>
      <c r="I39" s="867"/>
      <c r="J39" s="867"/>
      <c r="K39" s="867"/>
      <c r="L39" s="867"/>
      <c r="M39" s="867"/>
      <c r="N39" s="867"/>
      <c r="O39" s="867"/>
      <c r="P39" s="867"/>
      <c r="Q39" s="867"/>
      <c r="R39" s="867"/>
      <c r="S39" s="867"/>
      <c r="T39" s="867"/>
      <c r="U39" s="867"/>
      <c r="V39" s="867"/>
      <c r="W39" s="867"/>
      <c r="X39" s="867"/>
    </row>
    <row r="40" spans="1:24" ht="13.5">
      <c r="B40" s="857" t="s">
        <v>3597</v>
      </c>
    </row>
    <row r="41" spans="1:24" ht="13.5">
      <c r="D41" s="2030"/>
      <c r="E41" s="2030"/>
      <c r="F41" s="2030"/>
      <c r="G41" s="2030"/>
      <c r="H41" s="2030"/>
      <c r="I41" s="2030"/>
      <c r="J41" s="2030"/>
      <c r="K41" s="2030"/>
      <c r="L41" s="2030"/>
      <c r="M41" s="2030"/>
      <c r="N41" s="2030"/>
      <c r="O41" s="2030"/>
      <c r="P41" s="2030"/>
      <c r="Q41" s="2030"/>
      <c r="R41" s="2030"/>
      <c r="S41" s="2030"/>
      <c r="T41" s="2030"/>
      <c r="U41" s="2030"/>
      <c r="V41" s="2030"/>
      <c r="W41" s="2030"/>
    </row>
    <row r="42" spans="1:24" ht="13.5">
      <c r="D42" s="2030"/>
      <c r="E42" s="2030"/>
      <c r="F42" s="2030"/>
      <c r="G42" s="2030"/>
      <c r="H42" s="2030"/>
      <c r="I42" s="2030"/>
      <c r="J42" s="2030"/>
      <c r="K42" s="2030"/>
      <c r="L42" s="2030"/>
      <c r="M42" s="2030"/>
      <c r="N42" s="2030"/>
      <c r="O42" s="2030"/>
      <c r="P42" s="2030"/>
      <c r="Q42" s="2030"/>
      <c r="R42" s="2030"/>
      <c r="S42" s="2030"/>
      <c r="T42" s="2030"/>
      <c r="U42" s="2030"/>
      <c r="V42" s="2030"/>
      <c r="W42" s="2030"/>
    </row>
    <row r="43" spans="1:24" ht="13.5">
      <c r="D43" s="2031"/>
      <c r="E43" s="2031"/>
      <c r="F43" s="2031"/>
      <c r="G43" s="2031"/>
      <c r="H43" s="2031"/>
      <c r="I43" s="2031"/>
      <c r="J43" s="2031"/>
      <c r="K43" s="2031"/>
      <c r="L43" s="2031"/>
      <c r="M43" s="2031"/>
      <c r="N43" s="2031"/>
      <c r="O43" s="2031"/>
      <c r="P43" s="2031"/>
      <c r="Q43" s="2031"/>
      <c r="R43" s="2031"/>
      <c r="S43" s="2031"/>
      <c r="T43" s="2031"/>
      <c r="U43" s="2031"/>
      <c r="V43" s="2031"/>
      <c r="W43" s="2031"/>
    </row>
    <row r="45" spans="1:24" ht="13.5">
      <c r="A45" s="857" t="s">
        <v>3598</v>
      </c>
    </row>
    <row r="46" spans="1:24" ht="13.5">
      <c r="A46" s="857" t="s">
        <v>3599</v>
      </c>
    </row>
    <row r="48" spans="1:24" ht="13.5">
      <c r="A48" s="857" t="s">
        <v>3600</v>
      </c>
    </row>
    <row r="49" spans="1:38" ht="13.5">
      <c r="B49" s="857" t="s">
        <v>3601</v>
      </c>
    </row>
    <row r="50" spans="1:38" ht="13.5">
      <c r="A50" s="2032" t="s">
        <v>3602</v>
      </c>
      <c r="B50" s="2032"/>
      <c r="C50" s="2032"/>
      <c r="D50" s="2032"/>
      <c r="E50" s="2033" t="s">
        <v>3603</v>
      </c>
      <c r="F50" s="2032" t="s">
        <v>3604</v>
      </c>
      <c r="G50" s="2032"/>
      <c r="H50" s="2032" t="s">
        <v>3605</v>
      </c>
      <c r="I50" s="2032"/>
      <c r="J50" s="2032" t="s">
        <v>3606</v>
      </c>
      <c r="K50" s="2032"/>
      <c r="L50" s="2032" t="s">
        <v>3607</v>
      </c>
      <c r="M50" s="2032"/>
      <c r="N50" s="2032" t="s">
        <v>3608</v>
      </c>
      <c r="O50" s="2032"/>
      <c r="P50" s="2032"/>
      <c r="Q50" s="2032"/>
      <c r="R50" s="2032" t="s">
        <v>3609</v>
      </c>
      <c r="S50" s="2032"/>
      <c r="T50" s="2032"/>
      <c r="U50" s="2032" t="s">
        <v>3610</v>
      </c>
      <c r="V50" s="2032"/>
      <c r="W50" s="2032"/>
      <c r="X50" s="2032"/>
    </row>
    <row r="51" spans="1:38" ht="13.5">
      <c r="A51" s="2032"/>
      <c r="B51" s="2032"/>
      <c r="C51" s="2032"/>
      <c r="D51" s="2032"/>
      <c r="E51" s="2033"/>
      <c r="F51" s="2032"/>
      <c r="G51" s="2032"/>
      <c r="H51" s="2032"/>
      <c r="I51" s="2032"/>
      <c r="J51" s="2032"/>
      <c r="K51" s="2032"/>
      <c r="L51" s="2032"/>
      <c r="M51" s="2032"/>
      <c r="N51" s="2032"/>
      <c r="O51" s="2032"/>
      <c r="P51" s="2032"/>
      <c r="Q51" s="2032"/>
      <c r="R51" s="2032"/>
      <c r="S51" s="2032"/>
      <c r="T51" s="2032"/>
      <c r="U51" s="2032"/>
      <c r="V51" s="2032"/>
      <c r="W51" s="2032"/>
      <c r="X51" s="2032"/>
    </row>
    <row r="52" spans="1:38" ht="13.5">
      <c r="A52" s="2032"/>
      <c r="B52" s="2032"/>
      <c r="C52" s="2032"/>
      <c r="D52" s="2032"/>
      <c r="E52" s="2033"/>
      <c r="F52" s="2032"/>
      <c r="G52" s="2032"/>
      <c r="H52" s="2032"/>
      <c r="I52" s="2032"/>
      <c r="J52" s="2032"/>
      <c r="K52" s="2032"/>
      <c r="L52" s="2032"/>
      <c r="M52" s="2032"/>
      <c r="N52" s="2032"/>
      <c r="O52" s="2032"/>
      <c r="P52" s="2032"/>
      <c r="Q52" s="2032"/>
      <c r="R52" s="2032"/>
      <c r="S52" s="2032"/>
      <c r="T52" s="2032"/>
      <c r="U52" s="2032"/>
      <c r="V52" s="2032"/>
      <c r="W52" s="2032"/>
      <c r="X52" s="2032"/>
    </row>
    <row r="53" spans="1:38" ht="13.5">
      <c r="A53" s="2032"/>
      <c r="B53" s="2032"/>
      <c r="C53" s="2032"/>
      <c r="D53" s="2032"/>
      <c r="E53" s="2033"/>
      <c r="F53" s="2032"/>
      <c r="G53" s="2032"/>
      <c r="H53" s="2032"/>
      <c r="I53" s="2032"/>
      <c r="J53" s="2032"/>
      <c r="K53" s="2032"/>
      <c r="L53" s="2032"/>
      <c r="M53" s="2032"/>
      <c r="N53" s="2032"/>
      <c r="O53" s="2032"/>
      <c r="P53" s="2032"/>
      <c r="Q53" s="2032"/>
      <c r="R53" s="2032"/>
      <c r="S53" s="2032"/>
      <c r="T53" s="2032"/>
      <c r="U53" s="2032"/>
      <c r="V53" s="2032"/>
      <c r="W53" s="2032"/>
      <c r="X53" s="2032"/>
    </row>
    <row r="54" spans="1:38" s="873" customFormat="1" ht="13.5">
      <c r="A54" s="2032"/>
      <c r="B54" s="2032"/>
      <c r="C54" s="2032"/>
      <c r="D54" s="2032"/>
      <c r="E54" s="2033"/>
      <c r="F54" s="2032"/>
      <c r="G54" s="2032"/>
      <c r="H54" s="2032"/>
      <c r="I54" s="2032"/>
      <c r="J54" s="2032"/>
      <c r="K54" s="2032"/>
      <c r="L54" s="2032"/>
      <c r="M54" s="2032"/>
      <c r="N54" s="2032"/>
      <c r="O54" s="2032"/>
      <c r="P54" s="2032"/>
      <c r="Q54" s="2032"/>
      <c r="R54" s="2032" t="s">
        <v>3611</v>
      </c>
      <c r="S54" s="2032"/>
      <c r="T54" s="2032"/>
      <c r="U54" s="2032"/>
      <c r="V54" s="2032"/>
      <c r="W54" s="2032"/>
      <c r="X54" s="2032"/>
    </row>
    <row r="55" spans="1:38" s="873" customFormat="1" ht="13.5">
      <c r="A55" s="1904" t="s">
        <v>3165</v>
      </c>
      <c r="B55" s="1904"/>
      <c r="C55" s="1904"/>
      <c r="D55" s="1904"/>
      <c r="E55" s="1904"/>
      <c r="F55" s="1904"/>
      <c r="G55" s="1904"/>
      <c r="H55" s="1904"/>
      <c r="I55" s="1904"/>
      <c r="J55" s="1904"/>
      <c r="K55" s="1904"/>
      <c r="L55" s="1904"/>
      <c r="M55" s="1904"/>
      <c r="N55" s="1904"/>
      <c r="O55" s="1904"/>
      <c r="P55" s="1904"/>
      <c r="Q55" s="1904"/>
      <c r="R55" s="1904"/>
      <c r="S55" s="1904"/>
      <c r="T55" s="1904"/>
      <c r="U55" s="1904"/>
      <c r="V55" s="1904"/>
      <c r="W55" s="1904"/>
      <c r="X55" s="1904"/>
      <c r="AH55" s="859" t="s">
        <v>3093</v>
      </c>
      <c r="AI55" s="859"/>
      <c r="AJ55" s="857"/>
      <c r="AK55" s="857"/>
      <c r="AL55" s="857"/>
    </row>
    <row r="56" spans="1:38" s="873" customFormat="1" ht="13.5">
      <c r="A56" s="911" t="s">
        <v>3166</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H56" s="860" t="s">
        <v>2845</v>
      </c>
      <c r="AI56" s="859"/>
      <c r="AJ56" s="857"/>
      <c r="AK56" s="857"/>
      <c r="AL56" s="857"/>
    </row>
    <row r="57" spans="1:38" s="873" customFormat="1" ht="13.5">
      <c r="A57" s="563" t="s">
        <v>3167</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H57" s="861" t="str">
        <f>HYPERLINK("#A1：X54")</f>
        <v>#A1：X54</v>
      </c>
      <c r="AI57" s="862" t="s">
        <v>3466</v>
      </c>
      <c r="AJ57" s="863"/>
      <c r="AK57" s="863"/>
      <c r="AL57" s="863"/>
    </row>
    <row r="58" spans="1:38" s="873" customFormat="1" ht="13.5">
      <c r="A58" s="554"/>
      <c r="B58" s="553" t="s">
        <v>3406</v>
      </c>
      <c r="C58" s="553"/>
      <c r="D58" s="553"/>
      <c r="E58" s="553"/>
      <c r="F58" s="553"/>
      <c r="G58" s="1911" t="str">
        <f>cst_wskakunin_owner2_NAME_KANA</f>
        <v/>
      </c>
      <c r="H58" s="1911"/>
      <c r="I58" s="1911"/>
      <c r="J58" s="1911"/>
      <c r="K58" s="1911"/>
      <c r="L58" s="1911"/>
      <c r="M58" s="1911"/>
      <c r="N58" s="1911"/>
      <c r="O58" s="1911"/>
      <c r="P58" s="1911"/>
      <c r="Q58" s="1911"/>
      <c r="R58" s="1911"/>
      <c r="S58" s="1911"/>
      <c r="T58" s="1911"/>
      <c r="U58" s="1911"/>
      <c r="V58" s="1911"/>
      <c r="W58" s="1911"/>
      <c r="X58" s="557"/>
      <c r="AH58" s="861" t="str">
        <f>HYPERLINK("#A55：X108")</f>
        <v>#A55：X108</v>
      </c>
      <c r="AI58" s="864" t="s">
        <v>3485</v>
      </c>
      <c r="AJ58" s="865"/>
      <c r="AK58" s="865"/>
      <c r="AL58" s="865"/>
    </row>
    <row r="59" spans="1:38" s="873" customFormat="1" ht="13.5">
      <c r="A59" s="553"/>
      <c r="B59" s="553" t="s">
        <v>560</v>
      </c>
      <c r="C59" s="553"/>
      <c r="D59" s="553"/>
      <c r="E59" s="553"/>
      <c r="F59" s="553"/>
      <c r="G59" s="1912" t="str">
        <f>cst_wskakunin_owner2_NAME</f>
        <v/>
      </c>
      <c r="H59" s="1912"/>
      <c r="I59" s="1912"/>
      <c r="J59" s="1912"/>
      <c r="K59" s="1912"/>
      <c r="L59" s="1912"/>
      <c r="M59" s="1912"/>
      <c r="N59" s="1912"/>
      <c r="O59" s="1912"/>
      <c r="P59" s="1912"/>
      <c r="Q59" s="1912"/>
      <c r="R59" s="1912"/>
      <c r="S59" s="1912"/>
      <c r="T59" s="1912"/>
      <c r="U59" s="1912"/>
      <c r="V59" s="1912"/>
      <c r="W59" s="1912"/>
      <c r="X59" s="558"/>
      <c r="AH59" s="861" t="str">
        <f>HYPERLINK("#A109：X162")</f>
        <v>#A109：X162</v>
      </c>
      <c r="AI59" s="864" t="s">
        <v>3586</v>
      </c>
      <c r="AJ59" s="865"/>
      <c r="AK59" s="865"/>
      <c r="AL59" s="865"/>
    </row>
    <row r="60" spans="1:38" s="873" customFormat="1" ht="13.5">
      <c r="A60" s="553"/>
      <c r="B60" s="553"/>
      <c r="C60" s="553"/>
      <c r="D60" s="553"/>
      <c r="E60" s="553"/>
      <c r="F60" s="553"/>
      <c r="G60" s="1912"/>
      <c r="H60" s="1912"/>
      <c r="I60" s="1912"/>
      <c r="J60" s="1912"/>
      <c r="K60" s="1912"/>
      <c r="L60" s="1912"/>
      <c r="M60" s="1912"/>
      <c r="N60" s="1912"/>
      <c r="O60" s="1912"/>
      <c r="P60" s="1912"/>
      <c r="Q60" s="1912"/>
      <c r="R60" s="1912"/>
      <c r="S60" s="1912"/>
      <c r="T60" s="1912"/>
      <c r="U60" s="1912"/>
      <c r="V60" s="1912"/>
      <c r="W60" s="1912"/>
      <c r="X60" s="558"/>
    </row>
    <row r="61" spans="1:38" s="873" customFormat="1" ht="13.5">
      <c r="A61" s="553"/>
      <c r="B61" s="553" t="s">
        <v>551</v>
      </c>
      <c r="C61" s="553"/>
      <c r="D61" s="553"/>
      <c r="E61" s="553"/>
      <c r="F61" s="553"/>
      <c r="G61" s="555" t="s">
        <v>2429</v>
      </c>
      <c r="H61" s="1917" t="str">
        <f>cst_wskakunin_owner2_ZIP</f>
        <v/>
      </c>
      <c r="I61" s="1917"/>
      <c r="J61" s="1917"/>
      <c r="K61" s="1917"/>
      <c r="L61" s="1917"/>
      <c r="M61" s="1917"/>
      <c r="N61" s="1917"/>
      <c r="O61" s="1917"/>
      <c r="P61" s="1917"/>
      <c r="Q61" s="1917"/>
      <c r="R61" s="1917"/>
      <c r="S61" s="1917"/>
      <c r="T61" s="1917"/>
      <c r="U61" s="1917"/>
      <c r="V61" s="1917"/>
      <c r="W61" s="1917"/>
      <c r="X61" s="553"/>
    </row>
    <row r="62" spans="1:38" s="873" customFormat="1" ht="13.5">
      <c r="A62" s="553"/>
      <c r="B62" s="553" t="s">
        <v>3407</v>
      </c>
      <c r="C62" s="553"/>
      <c r="D62" s="553"/>
      <c r="E62" s="553"/>
      <c r="F62" s="553"/>
      <c r="G62" s="1912" t="str">
        <f>cst_wskakunin_owner2__address</f>
        <v/>
      </c>
      <c r="H62" s="1912"/>
      <c r="I62" s="1912"/>
      <c r="J62" s="1912"/>
      <c r="K62" s="1912"/>
      <c r="L62" s="1912"/>
      <c r="M62" s="1912"/>
      <c r="N62" s="1912"/>
      <c r="O62" s="1912"/>
      <c r="P62" s="1912"/>
      <c r="Q62" s="1912"/>
      <c r="R62" s="1912"/>
      <c r="S62" s="1912"/>
      <c r="T62" s="1912"/>
      <c r="U62" s="1912"/>
      <c r="V62" s="1912"/>
      <c r="W62" s="1912"/>
      <c r="X62" s="558"/>
    </row>
    <row r="63" spans="1:38" s="873" customFormat="1" ht="13.5">
      <c r="A63" s="553"/>
      <c r="B63" s="553"/>
      <c r="C63" s="553"/>
      <c r="D63" s="553"/>
      <c r="E63" s="553"/>
      <c r="F63" s="553"/>
      <c r="G63" s="1912"/>
      <c r="H63" s="1912"/>
      <c r="I63" s="1912"/>
      <c r="J63" s="1912"/>
      <c r="K63" s="1912"/>
      <c r="L63" s="1912"/>
      <c r="M63" s="1912"/>
      <c r="N63" s="1912"/>
      <c r="O63" s="1912"/>
      <c r="P63" s="1912"/>
      <c r="Q63" s="1912"/>
      <c r="R63" s="1912"/>
      <c r="S63" s="1912"/>
      <c r="T63" s="1912"/>
      <c r="U63" s="1912"/>
      <c r="V63" s="1912"/>
      <c r="W63" s="1912"/>
      <c r="X63" s="558"/>
    </row>
    <row r="64" spans="1:38" s="873" customFormat="1" ht="13.5">
      <c r="A64" s="553"/>
      <c r="B64" s="553" t="s">
        <v>555</v>
      </c>
      <c r="C64" s="553"/>
      <c r="D64" s="553"/>
      <c r="E64" s="553"/>
      <c r="F64" s="553"/>
      <c r="G64" s="1913" t="str">
        <f>cst_wskakunin_owner2_TEL</f>
        <v/>
      </c>
      <c r="H64" s="1913"/>
      <c r="I64" s="1913"/>
      <c r="J64" s="1913"/>
      <c r="K64" s="1913"/>
      <c r="L64" s="1913"/>
      <c r="M64" s="1913"/>
      <c r="N64" s="1913"/>
      <c r="O64" s="1913"/>
      <c r="P64" s="1913"/>
      <c r="Q64" s="1913"/>
      <c r="R64" s="1913"/>
      <c r="S64" s="1913"/>
      <c r="T64" s="1913"/>
      <c r="U64" s="1913"/>
      <c r="V64" s="1913"/>
      <c r="W64" s="1913"/>
      <c r="X64" s="558"/>
    </row>
    <row r="65" spans="1:24" s="873"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row>
    <row r="66" spans="1:24" s="873" customFormat="1" ht="13.5">
      <c r="A66" s="563" t="s">
        <v>3168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row>
    <row r="67" spans="1:24" s="873" customFormat="1" ht="13.5">
      <c r="A67" s="554"/>
      <c r="B67" s="553" t="s">
        <v>3406</v>
      </c>
      <c r="C67" s="553"/>
      <c r="D67" s="553"/>
      <c r="E67" s="553"/>
      <c r="F67" s="553"/>
      <c r="G67" s="1911" t="str">
        <f>cst_wskakunin_owner3_NAME_KANA</f>
        <v/>
      </c>
      <c r="H67" s="1911"/>
      <c r="I67" s="1911"/>
      <c r="J67" s="1911"/>
      <c r="K67" s="1911"/>
      <c r="L67" s="1911"/>
      <c r="M67" s="1911"/>
      <c r="N67" s="1911"/>
      <c r="O67" s="1911"/>
      <c r="P67" s="1911"/>
      <c r="Q67" s="1911"/>
      <c r="R67" s="1911"/>
      <c r="S67" s="1911"/>
      <c r="T67" s="1911"/>
      <c r="U67" s="1911"/>
      <c r="V67" s="1911"/>
      <c r="W67" s="1911"/>
      <c r="X67" s="557"/>
    </row>
    <row r="68" spans="1:24" s="873" customFormat="1" ht="13.5">
      <c r="A68" s="553"/>
      <c r="B68" s="553" t="s">
        <v>560</v>
      </c>
      <c r="C68" s="553"/>
      <c r="D68" s="553"/>
      <c r="E68" s="553"/>
      <c r="F68" s="553"/>
      <c r="G68" s="1912" t="str">
        <f>cst_wskakunin_owner3_NAME</f>
        <v/>
      </c>
      <c r="H68" s="1912"/>
      <c r="I68" s="1912"/>
      <c r="J68" s="1912"/>
      <c r="K68" s="1912"/>
      <c r="L68" s="1912"/>
      <c r="M68" s="1912"/>
      <c r="N68" s="1912"/>
      <c r="O68" s="1912"/>
      <c r="P68" s="1912"/>
      <c r="Q68" s="1912"/>
      <c r="R68" s="1912"/>
      <c r="S68" s="1912"/>
      <c r="T68" s="1912"/>
      <c r="U68" s="1912"/>
      <c r="V68" s="1912"/>
      <c r="W68" s="1912"/>
      <c r="X68" s="558"/>
    </row>
    <row r="69" spans="1:24" s="873" customFormat="1" ht="13.5">
      <c r="A69" s="553"/>
      <c r="B69" s="553"/>
      <c r="C69" s="553"/>
      <c r="D69" s="553"/>
      <c r="E69" s="553"/>
      <c r="F69" s="553"/>
      <c r="G69" s="1912"/>
      <c r="H69" s="1912"/>
      <c r="I69" s="1912"/>
      <c r="J69" s="1912"/>
      <c r="K69" s="1912"/>
      <c r="L69" s="1912"/>
      <c r="M69" s="1912"/>
      <c r="N69" s="1912"/>
      <c r="O69" s="1912"/>
      <c r="P69" s="1912"/>
      <c r="Q69" s="1912"/>
      <c r="R69" s="1912"/>
      <c r="S69" s="1912"/>
      <c r="T69" s="1912"/>
      <c r="U69" s="1912"/>
      <c r="V69" s="1912"/>
      <c r="W69" s="1912"/>
      <c r="X69" s="558"/>
    </row>
    <row r="70" spans="1:24" s="873" customFormat="1" ht="13.5">
      <c r="A70" s="553"/>
      <c r="B70" s="553" t="s">
        <v>551</v>
      </c>
      <c r="C70" s="553"/>
      <c r="D70" s="553"/>
      <c r="E70" s="553"/>
      <c r="F70" s="553"/>
      <c r="G70" s="555" t="s">
        <v>2429</v>
      </c>
      <c r="H70" s="1917" t="str">
        <f>cst_wskakunin_owner3_ZIP</f>
        <v/>
      </c>
      <c r="I70" s="1917"/>
      <c r="J70" s="1917"/>
      <c r="K70" s="1917"/>
      <c r="L70" s="1917"/>
      <c r="M70" s="1917"/>
      <c r="N70" s="1917"/>
      <c r="O70" s="1917"/>
      <c r="P70" s="1917"/>
      <c r="Q70" s="1917"/>
      <c r="R70" s="1917"/>
      <c r="S70" s="1917"/>
      <c r="T70" s="1917"/>
      <c r="U70" s="1917"/>
      <c r="V70" s="1917"/>
      <c r="W70" s="1917"/>
      <c r="X70" s="553"/>
    </row>
    <row r="71" spans="1:24" s="873" customFormat="1" ht="13.5">
      <c r="A71" s="553"/>
      <c r="B71" s="553" t="s">
        <v>3407</v>
      </c>
      <c r="C71" s="553"/>
      <c r="D71" s="553"/>
      <c r="E71" s="553"/>
      <c r="F71" s="553"/>
      <c r="G71" s="1912" t="str">
        <f>cst_wskakunin_owner3__address</f>
        <v/>
      </c>
      <c r="H71" s="1912"/>
      <c r="I71" s="1912"/>
      <c r="J71" s="1912"/>
      <c r="K71" s="1912"/>
      <c r="L71" s="1912"/>
      <c r="M71" s="1912"/>
      <c r="N71" s="1912"/>
      <c r="O71" s="1912"/>
      <c r="P71" s="1912"/>
      <c r="Q71" s="1912"/>
      <c r="R71" s="1912"/>
      <c r="S71" s="1912"/>
      <c r="T71" s="1912"/>
      <c r="U71" s="1912"/>
      <c r="V71" s="1912"/>
      <c r="W71" s="1912"/>
      <c r="X71" s="558"/>
    </row>
    <row r="72" spans="1:24" s="873" customFormat="1" ht="13.5">
      <c r="A72" s="553"/>
      <c r="B72" s="553"/>
      <c r="C72" s="553"/>
      <c r="D72" s="553"/>
      <c r="E72" s="553"/>
      <c r="F72" s="553"/>
      <c r="G72" s="1912"/>
      <c r="H72" s="1912"/>
      <c r="I72" s="1912"/>
      <c r="J72" s="1912"/>
      <c r="K72" s="1912"/>
      <c r="L72" s="1912"/>
      <c r="M72" s="1912"/>
      <c r="N72" s="1912"/>
      <c r="O72" s="1912"/>
      <c r="P72" s="1912"/>
      <c r="Q72" s="1912"/>
      <c r="R72" s="1912"/>
      <c r="S72" s="1912"/>
      <c r="T72" s="1912"/>
      <c r="U72" s="1912"/>
      <c r="V72" s="1912"/>
      <c r="W72" s="1912"/>
      <c r="X72" s="558"/>
    </row>
    <row r="73" spans="1:24" s="873" customFormat="1" ht="13.5">
      <c r="A73" s="553"/>
      <c r="B73" s="553" t="s">
        <v>555</v>
      </c>
      <c r="C73" s="553"/>
      <c r="D73" s="553"/>
      <c r="E73" s="553"/>
      <c r="F73" s="553"/>
      <c r="G73" s="1913" t="str">
        <f>cst_wskakunin_owner3_TEL</f>
        <v/>
      </c>
      <c r="H73" s="1913"/>
      <c r="I73" s="1913"/>
      <c r="J73" s="1913"/>
      <c r="K73" s="1913"/>
      <c r="L73" s="1913"/>
      <c r="M73" s="1913"/>
      <c r="N73" s="1913"/>
      <c r="O73" s="1913"/>
      <c r="P73" s="1913"/>
      <c r="Q73" s="1913"/>
      <c r="R73" s="1913"/>
      <c r="S73" s="1913"/>
      <c r="T73" s="1913"/>
      <c r="U73" s="1913"/>
      <c r="V73" s="1913"/>
      <c r="W73" s="1913"/>
      <c r="X73" s="558"/>
    </row>
    <row r="74" spans="1:24" s="873" customFormat="1" ht="13.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row>
    <row r="75" spans="1:24" s="873" customFormat="1" ht="13.5">
      <c r="A75" s="563" t="s">
        <v>3169</v>
      </c>
      <c r="B75" s="563"/>
      <c r="C75" s="563"/>
      <c r="D75" s="563"/>
      <c r="E75" s="563"/>
      <c r="F75" s="563"/>
      <c r="G75" s="563"/>
      <c r="H75" s="563"/>
      <c r="I75" s="563"/>
      <c r="J75" s="563"/>
      <c r="K75" s="563"/>
      <c r="L75" s="563"/>
      <c r="M75" s="563"/>
      <c r="N75" s="563"/>
      <c r="O75" s="563"/>
      <c r="P75" s="563"/>
      <c r="Q75" s="563"/>
      <c r="R75" s="563"/>
      <c r="S75" s="563"/>
      <c r="T75" s="563"/>
      <c r="U75" s="563"/>
      <c r="V75" s="563"/>
      <c r="W75" s="563"/>
      <c r="X75" s="563"/>
    </row>
    <row r="76" spans="1:24" s="873" customFormat="1" ht="13.5">
      <c r="A76" s="554"/>
      <c r="B76" s="553" t="s">
        <v>3406</v>
      </c>
      <c r="C76" s="553"/>
      <c r="D76" s="553"/>
      <c r="E76" s="553"/>
      <c r="F76" s="553"/>
      <c r="G76" s="1911" t="str">
        <f>cst_wskakunin_owner4_NAME_KANA</f>
        <v/>
      </c>
      <c r="H76" s="1911"/>
      <c r="I76" s="1911"/>
      <c r="J76" s="1911"/>
      <c r="K76" s="1911"/>
      <c r="L76" s="1911"/>
      <c r="M76" s="1911"/>
      <c r="N76" s="1911"/>
      <c r="O76" s="1911"/>
      <c r="P76" s="1911"/>
      <c r="Q76" s="1911"/>
      <c r="R76" s="1911"/>
      <c r="S76" s="1911"/>
      <c r="T76" s="1911"/>
      <c r="U76" s="1911"/>
      <c r="V76" s="1911"/>
      <c r="W76" s="1911"/>
      <c r="X76" s="557"/>
    </row>
    <row r="77" spans="1:24" s="873" customFormat="1" ht="13.5">
      <c r="A77" s="553"/>
      <c r="B77" s="553" t="s">
        <v>560</v>
      </c>
      <c r="C77" s="553"/>
      <c r="D77" s="553"/>
      <c r="E77" s="553"/>
      <c r="F77" s="553"/>
      <c r="G77" s="1912" t="str">
        <f>cst_wskakunin_owner4_NAME</f>
        <v/>
      </c>
      <c r="H77" s="1912"/>
      <c r="I77" s="1912"/>
      <c r="J77" s="1912"/>
      <c r="K77" s="1912"/>
      <c r="L77" s="1912"/>
      <c r="M77" s="1912"/>
      <c r="N77" s="1912"/>
      <c r="O77" s="1912"/>
      <c r="P77" s="1912"/>
      <c r="Q77" s="1912"/>
      <c r="R77" s="1912"/>
      <c r="S77" s="1912"/>
      <c r="T77" s="1912"/>
      <c r="U77" s="1912"/>
      <c r="V77" s="1912"/>
      <c r="W77" s="1912"/>
      <c r="X77" s="558"/>
    </row>
    <row r="78" spans="1:24" s="873" customFormat="1" ht="13.5">
      <c r="A78" s="553"/>
      <c r="B78" s="553"/>
      <c r="C78" s="553"/>
      <c r="D78" s="553"/>
      <c r="E78" s="553"/>
      <c r="F78" s="553"/>
      <c r="G78" s="1912"/>
      <c r="H78" s="1912"/>
      <c r="I78" s="1912"/>
      <c r="J78" s="1912"/>
      <c r="K78" s="1912"/>
      <c r="L78" s="1912"/>
      <c r="M78" s="1912"/>
      <c r="N78" s="1912"/>
      <c r="O78" s="1912"/>
      <c r="P78" s="1912"/>
      <c r="Q78" s="1912"/>
      <c r="R78" s="1912"/>
      <c r="S78" s="1912"/>
      <c r="T78" s="1912"/>
      <c r="U78" s="1912"/>
      <c r="V78" s="1912"/>
      <c r="W78" s="1912"/>
      <c r="X78" s="558"/>
    </row>
    <row r="79" spans="1:24" s="873" customFormat="1" ht="13.5">
      <c r="A79" s="553"/>
      <c r="B79" s="553" t="s">
        <v>551</v>
      </c>
      <c r="C79" s="553"/>
      <c r="D79" s="553"/>
      <c r="E79" s="553"/>
      <c r="F79" s="553"/>
      <c r="G79" s="555" t="s">
        <v>2429</v>
      </c>
      <c r="H79" s="1917" t="str">
        <f>cst_wskakunin_owner4_ZIP</f>
        <v/>
      </c>
      <c r="I79" s="1917"/>
      <c r="J79" s="1917"/>
      <c r="K79" s="1917"/>
      <c r="L79" s="1917"/>
      <c r="M79" s="1917"/>
      <c r="N79" s="1917"/>
      <c r="O79" s="1917"/>
      <c r="P79" s="1917"/>
      <c r="Q79" s="1917"/>
      <c r="R79" s="1917"/>
      <c r="S79" s="1917"/>
      <c r="T79" s="1917"/>
      <c r="U79" s="1917"/>
      <c r="V79" s="1917"/>
      <c r="W79" s="1917"/>
      <c r="X79" s="553"/>
    </row>
    <row r="80" spans="1:24" s="873" customFormat="1" ht="13.5">
      <c r="A80" s="553"/>
      <c r="B80" s="553" t="s">
        <v>3407</v>
      </c>
      <c r="C80" s="553"/>
      <c r="D80" s="553"/>
      <c r="E80" s="553"/>
      <c r="F80" s="553"/>
      <c r="G80" s="1912" t="str">
        <f>cst_wskakunin_owner4__address</f>
        <v/>
      </c>
      <c r="H80" s="1912"/>
      <c r="I80" s="1912"/>
      <c r="J80" s="1912"/>
      <c r="K80" s="1912"/>
      <c r="L80" s="1912"/>
      <c r="M80" s="1912"/>
      <c r="N80" s="1912"/>
      <c r="O80" s="1912"/>
      <c r="P80" s="1912"/>
      <c r="Q80" s="1912"/>
      <c r="R80" s="1912"/>
      <c r="S80" s="1912"/>
      <c r="T80" s="1912"/>
      <c r="U80" s="1912"/>
      <c r="V80" s="1912"/>
      <c r="W80" s="1912"/>
      <c r="X80" s="558"/>
    </row>
    <row r="81" spans="1:24" s="873" customFormat="1" ht="13.5">
      <c r="A81" s="553"/>
      <c r="B81" s="553"/>
      <c r="C81" s="553"/>
      <c r="D81" s="553"/>
      <c r="E81" s="553"/>
      <c r="F81" s="553"/>
      <c r="G81" s="1912"/>
      <c r="H81" s="1912"/>
      <c r="I81" s="1912"/>
      <c r="J81" s="1912"/>
      <c r="K81" s="1912"/>
      <c r="L81" s="1912"/>
      <c r="M81" s="1912"/>
      <c r="N81" s="1912"/>
      <c r="O81" s="1912"/>
      <c r="P81" s="1912"/>
      <c r="Q81" s="1912"/>
      <c r="R81" s="1912"/>
      <c r="S81" s="1912"/>
      <c r="T81" s="1912"/>
      <c r="U81" s="1912"/>
      <c r="V81" s="1912"/>
      <c r="W81" s="1912"/>
      <c r="X81" s="558"/>
    </row>
    <row r="82" spans="1:24" s="873" customFormat="1" ht="13.5">
      <c r="A82" s="553"/>
      <c r="B82" s="553" t="s">
        <v>555</v>
      </c>
      <c r="C82" s="553"/>
      <c r="D82" s="553"/>
      <c r="E82" s="553"/>
      <c r="F82" s="553"/>
      <c r="G82" s="1913" t="str">
        <f>cst_wskakunin_owner4_TEL</f>
        <v/>
      </c>
      <c r="H82" s="1913"/>
      <c r="I82" s="1913"/>
      <c r="J82" s="1913"/>
      <c r="K82" s="1913"/>
      <c r="L82" s="1913"/>
      <c r="M82" s="1913"/>
      <c r="N82" s="1913"/>
      <c r="O82" s="1913"/>
      <c r="P82" s="1913"/>
      <c r="Q82" s="1913"/>
      <c r="R82" s="1913"/>
      <c r="S82" s="1913"/>
      <c r="T82" s="1913"/>
      <c r="U82" s="1913"/>
      <c r="V82" s="1913"/>
      <c r="W82" s="1913"/>
      <c r="X82" s="558"/>
    </row>
    <row r="83" spans="1:24" s="873" customFormat="1" ht="13.5">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row>
    <row r="84" spans="1:24" s="873" customFormat="1" ht="13.5">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row>
    <row r="85" spans="1:24" s="873" customFormat="1" ht="13.5">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row>
    <row r="86" spans="1:24" s="873" customFormat="1" ht="13.5">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row>
    <row r="87" spans="1:24" s="873"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row>
    <row r="88" spans="1:24" s="873" customFormat="1" ht="13.5">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row>
    <row r="89" spans="1:24" s="873" customFormat="1" ht="13.5">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row>
    <row r="90" spans="1:24" s="873" customFormat="1" ht="13.5">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873" customFormat="1" ht="13.5">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row>
    <row r="92" spans="1:24" s="873" customFormat="1" ht="13.5">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row>
    <row r="93" spans="1:24" s="873" customFormat="1" ht="13.5">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row>
    <row r="94" spans="1:24" s="873" customFormat="1" ht="13.5">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row>
    <row r="95" spans="1:24" s="873" customFormat="1" ht="13.5">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row>
    <row r="96" spans="1:24" s="873" customFormat="1" ht="13.5">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row>
    <row r="97" spans="1:38" s="873" customFormat="1" ht="13.5">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row>
    <row r="98" spans="1:38" s="873"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row>
    <row r="99" spans="1:38" s="873" customFormat="1" ht="13.5">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row>
    <row r="100" spans="1:38" s="873" customFormat="1" ht="13.5">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38" s="873" customFormat="1" ht="13.5">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row>
    <row r="102" spans="1:38" s="873" customFormat="1" ht="13.5">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row>
    <row r="103" spans="1:38" s="873" customFormat="1" ht="13.5">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row>
    <row r="104" spans="1:38" s="873" customFormat="1" ht="13.5">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row>
    <row r="105" spans="1:38" s="873" customFormat="1" ht="13.5">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row>
    <row r="106" spans="1:38" s="873" customFormat="1" ht="13.5">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row>
    <row r="107" spans="1:38" s="873" customFormat="1" ht="13.5">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row>
    <row r="108" spans="1:38" s="873" customFormat="1" ht="13.5">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row>
    <row r="109" spans="1:38" s="873" customFormat="1" ht="13.5">
      <c r="A109" s="857"/>
      <c r="B109" s="857"/>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AH109" s="859" t="s">
        <v>3093</v>
      </c>
      <c r="AI109" s="859"/>
      <c r="AJ109" s="857"/>
      <c r="AK109" s="857"/>
      <c r="AL109" s="857"/>
    </row>
    <row r="110" spans="1:38" s="873" customFormat="1" ht="13.5">
      <c r="A110" s="857"/>
      <c r="B110" s="857"/>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AH110" s="860" t="s">
        <v>2845</v>
      </c>
      <c r="AI110" s="859"/>
      <c r="AJ110" s="857"/>
      <c r="AK110" s="857"/>
      <c r="AL110" s="857"/>
    </row>
    <row r="111" spans="1:38" s="873" customFormat="1" ht="13.5">
      <c r="A111" s="857"/>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AH111" s="861" t="str">
        <f>HYPERLINK("#A1：X54")</f>
        <v>#A1：X54</v>
      </c>
      <c r="AI111" s="862" t="s">
        <v>3466</v>
      </c>
      <c r="AJ111" s="863"/>
      <c r="AK111" s="863"/>
      <c r="AL111" s="863"/>
    </row>
    <row r="112" spans="1:38" s="873" customFormat="1" ht="13.5">
      <c r="A112" s="1967" t="s">
        <v>2769</v>
      </c>
      <c r="B112" s="1967"/>
      <c r="C112" s="1967"/>
      <c r="D112" s="1967"/>
      <c r="E112" s="1967"/>
      <c r="F112" s="1967"/>
      <c r="G112" s="1967"/>
      <c r="H112" s="1967"/>
      <c r="I112" s="1967"/>
      <c r="J112" s="1967"/>
      <c r="K112" s="1967"/>
      <c r="L112" s="1967"/>
      <c r="M112" s="1967"/>
      <c r="N112" s="1967"/>
      <c r="O112" s="1967"/>
      <c r="P112" s="1967"/>
      <c r="Q112" s="1967"/>
      <c r="R112" s="1967"/>
      <c r="S112" s="1967"/>
      <c r="T112" s="1967"/>
      <c r="U112" s="1967"/>
      <c r="V112" s="1967"/>
      <c r="W112" s="1967"/>
      <c r="X112" s="1967"/>
      <c r="AH112" s="861" t="str">
        <f>HYPERLINK("#A55：X108")</f>
        <v>#A55：X108</v>
      </c>
      <c r="AI112" s="864" t="s">
        <v>3485</v>
      </c>
      <c r="AJ112" s="865"/>
      <c r="AK112" s="865"/>
      <c r="AL112" s="865"/>
    </row>
    <row r="113" spans="1:38" s="873" customFormat="1" ht="13.5">
      <c r="A113" s="1967"/>
      <c r="B113" s="1967"/>
      <c r="C113" s="1967"/>
      <c r="D113" s="1967"/>
      <c r="E113" s="1967"/>
      <c r="F113" s="1967"/>
      <c r="G113" s="1967"/>
      <c r="H113" s="1967"/>
      <c r="I113" s="1967"/>
      <c r="J113" s="1967"/>
      <c r="K113" s="1967"/>
      <c r="L113" s="1967"/>
      <c r="M113" s="1967"/>
      <c r="N113" s="1967"/>
      <c r="O113" s="1967"/>
      <c r="P113" s="1967"/>
      <c r="Q113" s="1967"/>
      <c r="R113" s="1967"/>
      <c r="S113" s="1967"/>
      <c r="T113" s="1967"/>
      <c r="U113" s="1967"/>
      <c r="V113" s="1967"/>
      <c r="W113" s="1967"/>
      <c r="X113" s="1967"/>
      <c r="AH113" s="861" t="str">
        <f>HYPERLINK("#A109：X162")</f>
        <v>#A109：X162</v>
      </c>
      <c r="AI113" s="864" t="s">
        <v>3586</v>
      </c>
      <c r="AJ113" s="865"/>
      <c r="AK113" s="865"/>
      <c r="AL113" s="865"/>
    </row>
    <row r="114" spans="1:38" s="873" customFormat="1" ht="13.5">
      <c r="A114" s="857"/>
      <c r="B114" s="857"/>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row>
    <row r="115" spans="1:38" s="873" customFormat="1" ht="13.5">
      <c r="A115" s="857"/>
      <c r="B115" s="857"/>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row>
    <row r="116" spans="1:38" s="873" customFormat="1" ht="13.5">
      <c r="A116" s="857"/>
      <c r="B116" s="857"/>
      <c r="C116" s="857"/>
      <c r="D116" s="857"/>
      <c r="E116" s="857"/>
      <c r="F116" s="857"/>
      <c r="G116" s="857"/>
      <c r="H116" s="857"/>
      <c r="I116" s="857"/>
      <c r="J116" s="857"/>
      <c r="K116" s="857"/>
      <c r="L116" s="857"/>
      <c r="M116" s="857"/>
      <c r="N116" s="857"/>
      <c r="O116" s="857"/>
      <c r="P116" s="857"/>
      <c r="Q116" s="857"/>
      <c r="R116" s="857"/>
      <c r="S116" s="857"/>
      <c r="T116" s="857"/>
      <c r="U116" s="857"/>
      <c r="V116" s="857"/>
      <c r="W116" s="857"/>
      <c r="X116" s="857"/>
    </row>
    <row r="117" spans="1:38" s="873" customFormat="1" ht="13.5">
      <c r="A117" s="857"/>
      <c r="B117" s="857"/>
      <c r="C117" s="857"/>
      <c r="D117" s="857"/>
      <c r="E117" s="857"/>
      <c r="F117" s="857"/>
      <c r="G117" s="857"/>
      <c r="H117" s="857"/>
      <c r="I117" s="857"/>
      <c r="J117" s="857"/>
      <c r="K117" s="857"/>
      <c r="L117" s="857"/>
      <c r="M117" s="857"/>
      <c r="N117" s="857"/>
      <c r="O117" s="857"/>
      <c r="P117" s="857"/>
      <c r="Q117" s="857"/>
      <c r="R117" s="857"/>
      <c r="S117" s="857"/>
      <c r="T117" s="857"/>
      <c r="U117" s="857"/>
      <c r="V117" s="857"/>
      <c r="W117" s="857"/>
      <c r="X117" s="857"/>
    </row>
    <row r="118" spans="1:38" s="873" customFormat="1" ht="13.5">
      <c r="A118" s="857" t="s">
        <v>3083</v>
      </c>
      <c r="B118" s="857"/>
      <c r="C118" s="2025" t="str">
        <f>cst_wskakunin_dairi1_JIMU_NAME</f>
        <v/>
      </c>
      <c r="D118" s="2025"/>
      <c r="E118" s="2025"/>
      <c r="F118" s="2025"/>
      <c r="G118" s="2025"/>
      <c r="H118" s="2025"/>
      <c r="I118" s="2025"/>
      <c r="J118" s="2025"/>
      <c r="K118" s="2025"/>
      <c r="L118" s="2025"/>
      <c r="M118" s="2025"/>
      <c r="N118" s="2025"/>
      <c r="O118" s="2025"/>
      <c r="P118" s="2025"/>
      <c r="Q118" s="2025"/>
      <c r="R118" s="2025"/>
      <c r="S118" s="2025"/>
      <c r="T118" s="2025"/>
      <c r="U118" s="2025"/>
      <c r="V118" s="857" t="s">
        <v>3084</v>
      </c>
      <c r="W118" s="857"/>
      <c r="X118" s="857"/>
    </row>
    <row r="119" spans="1:38" s="873" customFormat="1" ht="13.5">
      <c r="A119" s="857"/>
      <c r="B119" s="857"/>
      <c r="C119" s="2025" t="str">
        <f>cst_wskakunin_dairi1_NAME</f>
        <v/>
      </c>
      <c r="D119" s="2025"/>
      <c r="E119" s="2025"/>
      <c r="F119" s="2025"/>
      <c r="G119" s="2025"/>
      <c r="H119" s="2025"/>
      <c r="I119" s="2025"/>
      <c r="J119" s="2025"/>
      <c r="K119" s="2025"/>
      <c r="L119" s="2025"/>
      <c r="M119" s="2025"/>
      <c r="N119" s="2025"/>
      <c r="O119" s="2025"/>
      <c r="P119" s="2025"/>
      <c r="Q119" s="2025"/>
      <c r="R119" s="2025"/>
      <c r="S119" s="2025"/>
      <c r="T119" s="2025"/>
      <c r="U119" s="2025"/>
      <c r="V119" s="857"/>
      <c r="W119" s="857"/>
      <c r="X119" s="857"/>
    </row>
    <row r="120" spans="1:38" s="873" customFormat="1" ht="13.5">
      <c r="A120" s="857" t="s">
        <v>3085</v>
      </c>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row>
    <row r="121" spans="1:38" s="873" customFormat="1" ht="13.5">
      <c r="A121" s="857"/>
      <c r="B121" s="857"/>
      <c r="C121" s="857"/>
      <c r="D121" s="857"/>
      <c r="E121" s="857"/>
      <c r="F121" s="857"/>
      <c r="G121" s="857"/>
      <c r="H121" s="857"/>
      <c r="I121" s="857"/>
      <c r="J121" s="857"/>
      <c r="K121" s="857"/>
      <c r="L121" s="857"/>
      <c r="M121" s="857"/>
      <c r="N121" s="857"/>
      <c r="O121" s="857"/>
      <c r="P121" s="857"/>
      <c r="Q121" s="857"/>
      <c r="R121" s="857"/>
      <c r="S121" s="857"/>
      <c r="T121" s="857"/>
      <c r="U121" s="857"/>
      <c r="V121" s="857"/>
      <c r="W121" s="857"/>
      <c r="X121" s="857"/>
    </row>
    <row r="122" spans="1:38" s="873" customFormat="1" ht="13.5">
      <c r="A122" s="857"/>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row>
    <row r="123" spans="1:38" s="873" customFormat="1" ht="13.5">
      <c r="A123" s="857"/>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row>
    <row r="124" spans="1:38" ht="13.5">
      <c r="A124" s="1970" t="s">
        <v>0</v>
      </c>
      <c r="B124" s="1970"/>
      <c r="C124" s="1970"/>
      <c r="D124" s="1970"/>
      <c r="E124" s="1970"/>
      <c r="F124" s="1970"/>
      <c r="G124" s="1970"/>
      <c r="H124" s="1970"/>
      <c r="I124" s="1970"/>
      <c r="J124" s="1970"/>
      <c r="K124" s="1970"/>
      <c r="L124" s="1970"/>
      <c r="M124" s="1970"/>
      <c r="N124" s="1970"/>
      <c r="O124" s="1970"/>
      <c r="P124" s="1970"/>
      <c r="Q124" s="1970"/>
      <c r="R124" s="1970"/>
      <c r="S124" s="1970"/>
      <c r="T124" s="1970"/>
      <c r="U124" s="1970"/>
      <c r="V124" s="1970"/>
      <c r="W124" s="1970"/>
      <c r="X124" s="1970"/>
    </row>
    <row r="128" spans="1:38" ht="13.5">
      <c r="A128" s="912" t="s">
        <v>1193</v>
      </c>
      <c r="C128" s="877"/>
      <c r="D128" s="857" t="s">
        <v>3086</v>
      </c>
      <c r="G128" s="877"/>
      <c r="H128" s="857" t="s">
        <v>1232</v>
      </c>
      <c r="K128" s="877"/>
      <c r="L128" s="857" t="s">
        <v>1233</v>
      </c>
    </row>
    <row r="129" spans="1:24" ht="13.5">
      <c r="C129" s="877"/>
      <c r="D129" s="857" t="s">
        <v>3082</v>
      </c>
      <c r="G129" s="2027" t="s">
        <v>3612</v>
      </c>
      <c r="H129" s="2027"/>
      <c r="I129" s="2027"/>
      <c r="J129" s="2027"/>
      <c r="K129" s="2027"/>
      <c r="L129" s="2027"/>
      <c r="M129" s="2027"/>
      <c r="N129" s="2027"/>
      <c r="O129" s="2027"/>
      <c r="P129" s="2027"/>
      <c r="Q129" s="2027"/>
      <c r="R129" s="2027"/>
      <c r="S129" s="2027"/>
      <c r="T129" s="2027"/>
      <c r="U129" s="2027"/>
      <c r="V129" s="2027"/>
      <c r="W129" s="857" t="s">
        <v>6</v>
      </c>
    </row>
    <row r="131" spans="1:24" ht="13.5">
      <c r="A131" s="912" t="s">
        <v>1200</v>
      </c>
      <c r="C131" s="1974" t="s">
        <v>3087</v>
      </c>
      <c r="D131" s="1974"/>
      <c r="E131" s="1974"/>
      <c r="F131" s="1974"/>
      <c r="G131" s="1974"/>
      <c r="H131" s="1974"/>
      <c r="I131" s="1974"/>
      <c r="J131" s="1974"/>
      <c r="K131" s="1974"/>
      <c r="L131" s="1974"/>
      <c r="M131" s="1974"/>
      <c r="N131" s="1974"/>
      <c r="O131" s="1974"/>
      <c r="P131" s="1974"/>
      <c r="Q131" s="1974"/>
      <c r="R131" s="1974"/>
      <c r="S131" s="1974"/>
      <c r="T131" s="1974"/>
      <c r="U131" s="1974"/>
      <c r="V131" s="1974"/>
      <c r="W131" s="1974"/>
    </row>
    <row r="132" spans="1:24" ht="13.5">
      <c r="C132" s="1974"/>
      <c r="D132" s="1974"/>
      <c r="E132" s="1974"/>
      <c r="F132" s="1974"/>
      <c r="G132" s="1974"/>
      <c r="H132" s="1974"/>
      <c r="I132" s="1974"/>
      <c r="J132" s="1974"/>
      <c r="K132" s="1974"/>
      <c r="L132" s="1974"/>
      <c r="M132" s="1974"/>
      <c r="N132" s="1974"/>
      <c r="O132" s="1974"/>
      <c r="P132" s="1974"/>
      <c r="Q132" s="1974"/>
      <c r="R132" s="1974"/>
      <c r="S132" s="1974"/>
      <c r="T132" s="1974"/>
      <c r="U132" s="1974"/>
      <c r="V132" s="1974"/>
      <c r="W132" s="1974"/>
    </row>
    <row r="134" spans="1:24" ht="13.5">
      <c r="A134" s="912" t="s">
        <v>1204</v>
      </c>
      <c r="C134" s="1971" t="s">
        <v>3088</v>
      </c>
      <c r="D134" s="1971"/>
      <c r="E134" s="1971"/>
      <c r="F134" s="1971"/>
      <c r="G134" s="1971"/>
      <c r="H134" s="1971"/>
      <c r="I134" s="1971"/>
      <c r="J134" s="1971"/>
      <c r="K134" s="1971"/>
      <c r="L134" s="1971"/>
      <c r="M134" s="1971"/>
      <c r="N134" s="1971"/>
      <c r="O134" s="1971"/>
      <c r="P134" s="1971"/>
      <c r="Q134" s="1971"/>
      <c r="R134" s="1971"/>
      <c r="S134" s="1971"/>
      <c r="T134" s="1971"/>
      <c r="U134" s="1971"/>
      <c r="V134" s="1971"/>
      <c r="W134" s="1971"/>
    </row>
    <row r="135" spans="1:24" ht="13.5">
      <c r="D135" s="2034" t="str">
        <f>IF(D31="","",D31)</f>
        <v/>
      </c>
      <c r="E135" s="2034"/>
      <c r="F135" s="2034"/>
      <c r="G135" s="2034"/>
      <c r="H135" s="2034"/>
      <c r="I135" s="2034"/>
      <c r="J135" s="2034"/>
      <c r="K135" s="2034"/>
      <c r="L135" s="2034"/>
      <c r="M135" s="2034"/>
      <c r="N135" s="2034"/>
      <c r="O135" s="2034"/>
      <c r="P135" s="2034"/>
      <c r="Q135" s="2034"/>
      <c r="R135" s="2034"/>
      <c r="S135" s="2034"/>
      <c r="T135" s="2034"/>
      <c r="U135" s="2034"/>
      <c r="V135" s="2034"/>
      <c r="W135" s="2034"/>
    </row>
    <row r="136" spans="1:24" ht="13.5">
      <c r="D136" s="2034"/>
      <c r="E136" s="2034"/>
      <c r="F136" s="2034"/>
      <c r="G136" s="2034"/>
      <c r="H136" s="2034"/>
      <c r="I136" s="2034"/>
      <c r="J136" s="2034"/>
      <c r="K136" s="2034"/>
      <c r="L136" s="2034"/>
      <c r="M136" s="2034"/>
      <c r="N136" s="2034"/>
      <c r="O136" s="2034"/>
      <c r="P136" s="2034"/>
      <c r="Q136" s="2034"/>
      <c r="R136" s="2034"/>
      <c r="S136" s="2034"/>
      <c r="T136" s="2034"/>
      <c r="U136" s="2034"/>
      <c r="V136" s="2034"/>
      <c r="W136" s="2034"/>
    </row>
    <row r="137" spans="1:24" ht="13.5">
      <c r="D137" s="2034"/>
      <c r="E137" s="2034"/>
      <c r="F137" s="2034"/>
      <c r="G137" s="2034"/>
      <c r="H137" s="2034"/>
      <c r="I137" s="2034"/>
      <c r="J137" s="2034"/>
      <c r="K137" s="2034"/>
      <c r="L137" s="2034"/>
      <c r="M137" s="2034"/>
      <c r="N137" s="2034"/>
      <c r="O137" s="2034"/>
      <c r="P137" s="2034"/>
      <c r="Q137" s="2034"/>
      <c r="R137" s="2034"/>
      <c r="S137" s="2034"/>
      <c r="T137" s="2034"/>
      <c r="U137" s="2034"/>
      <c r="V137" s="2034"/>
      <c r="W137" s="2034"/>
    </row>
    <row r="138" spans="1:24" ht="13.5">
      <c r="D138" s="2034"/>
      <c r="E138" s="2034"/>
      <c r="F138" s="2034"/>
      <c r="G138" s="2034"/>
      <c r="H138" s="2034"/>
      <c r="I138" s="2034"/>
      <c r="J138" s="2034"/>
      <c r="K138" s="2034"/>
      <c r="L138" s="2034"/>
      <c r="M138" s="2034"/>
      <c r="N138" s="2034"/>
      <c r="O138" s="2034"/>
      <c r="P138" s="2034"/>
      <c r="Q138" s="2034"/>
      <c r="R138" s="2034"/>
      <c r="S138" s="2034"/>
      <c r="T138" s="2034"/>
      <c r="U138" s="2034"/>
      <c r="V138" s="2034"/>
      <c r="W138" s="2034"/>
    </row>
    <row r="140" spans="1:24" ht="13.5">
      <c r="B140" s="2023" t="s">
        <v>3089</v>
      </c>
      <c r="C140" s="2023"/>
      <c r="D140" s="913"/>
      <c r="E140" s="867" t="s">
        <v>371</v>
      </c>
      <c r="F140" s="913"/>
      <c r="G140" s="867" t="s">
        <v>4</v>
      </c>
      <c r="H140" s="913"/>
      <c r="I140" s="867" t="s">
        <v>373</v>
      </c>
    </row>
    <row r="141" spans="1:24" ht="15" customHeight="1">
      <c r="A141" s="547"/>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row>
    <row r="142" spans="1:24" ht="13.5">
      <c r="A142" s="547"/>
      <c r="B142" s="547"/>
      <c r="C142" s="1623" t="str">
        <f>cst_wskakunin_owner1__address</f>
        <v/>
      </c>
      <c r="D142" s="1623"/>
      <c r="E142" s="1623"/>
      <c r="F142" s="1623"/>
      <c r="G142" s="1623"/>
      <c r="H142" s="1623"/>
      <c r="I142" s="1623"/>
      <c r="J142" s="1623"/>
      <c r="K142" s="1623"/>
      <c r="L142" s="1623"/>
      <c r="M142" s="1623"/>
      <c r="N142" s="1623"/>
      <c r="O142" s="1623"/>
      <c r="P142" s="1623"/>
      <c r="Q142" s="1623"/>
      <c r="R142" s="1623"/>
      <c r="S142" s="1623"/>
      <c r="T142" s="1623"/>
      <c r="U142" s="1623"/>
      <c r="V142" s="1623"/>
      <c r="W142" s="1623"/>
      <c r="X142" s="547"/>
    </row>
    <row r="143" spans="1:24" ht="13.5">
      <c r="A143" s="547"/>
      <c r="B143" s="547"/>
      <c r="C143" s="1621" t="str">
        <f>cst_wskakunin_owner1_JIMU_NAME</f>
        <v/>
      </c>
      <c r="D143" s="1621"/>
      <c r="E143" s="1621"/>
      <c r="F143" s="1621"/>
      <c r="G143" s="1621"/>
      <c r="H143" s="1621"/>
      <c r="I143" s="1621"/>
      <c r="J143" s="1621"/>
      <c r="K143" s="1621"/>
      <c r="L143" s="1621"/>
      <c r="M143" s="1621"/>
      <c r="N143" s="1621"/>
      <c r="O143" s="1621"/>
      <c r="P143" s="1621"/>
      <c r="Q143" s="1621"/>
      <c r="R143" s="1621"/>
      <c r="S143" s="1621"/>
      <c r="T143" s="1621"/>
      <c r="U143" s="1621"/>
      <c r="V143" s="547"/>
      <c r="W143" s="547"/>
      <c r="X143" s="547"/>
    </row>
    <row r="144" spans="1:24" ht="13.5">
      <c r="A144" s="547"/>
      <c r="B144" s="547"/>
      <c r="C144" s="1621" t="str">
        <f>cst_wskakunin_owner1__space2</f>
        <v/>
      </c>
      <c r="D144" s="1621"/>
      <c r="E144" s="1621"/>
      <c r="F144" s="1621"/>
      <c r="G144" s="1621"/>
      <c r="H144" s="1621"/>
      <c r="I144" s="1621"/>
      <c r="J144" s="1621"/>
      <c r="K144" s="1621"/>
      <c r="L144" s="1621"/>
      <c r="M144" s="1621"/>
      <c r="N144" s="1621"/>
      <c r="O144" s="1621"/>
      <c r="P144" s="1621"/>
      <c r="Q144" s="1621"/>
      <c r="R144" s="1621"/>
      <c r="S144" s="1621"/>
      <c r="T144" s="1621"/>
      <c r="U144" s="1621"/>
      <c r="V144" s="551" t="s">
        <v>372</v>
      </c>
      <c r="W144" s="547"/>
      <c r="X144" s="547"/>
    </row>
    <row r="145" spans="1:24" ht="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row>
    <row r="146" spans="1:24" ht="13.5">
      <c r="A146" s="547"/>
      <c r="B146" s="547"/>
      <c r="C146" s="1623" t="str">
        <f>cst_wskakunin_owner2__address</f>
        <v/>
      </c>
      <c r="D146" s="1623"/>
      <c r="E146" s="1623"/>
      <c r="F146" s="1623"/>
      <c r="G146" s="1623"/>
      <c r="H146" s="1623"/>
      <c r="I146" s="1623"/>
      <c r="J146" s="1623"/>
      <c r="K146" s="1623"/>
      <c r="L146" s="1623"/>
      <c r="M146" s="1623"/>
      <c r="N146" s="1623"/>
      <c r="O146" s="1623"/>
      <c r="P146" s="1623"/>
      <c r="Q146" s="1623"/>
      <c r="R146" s="1623"/>
      <c r="S146" s="1623"/>
      <c r="T146" s="1623"/>
      <c r="U146" s="1623"/>
      <c r="V146" s="1623"/>
      <c r="W146" s="1623"/>
      <c r="X146" s="547"/>
    </row>
    <row r="147" spans="1:24" ht="13.5">
      <c r="A147" s="547"/>
      <c r="B147" s="547"/>
      <c r="C147" s="1621" t="str">
        <f>cst_wskakunin_owner2_JIMU_NAME</f>
        <v/>
      </c>
      <c r="D147" s="1621"/>
      <c r="E147" s="1621"/>
      <c r="F147" s="1621"/>
      <c r="G147" s="1621"/>
      <c r="H147" s="1621"/>
      <c r="I147" s="1621"/>
      <c r="J147" s="1621"/>
      <c r="K147" s="1621"/>
      <c r="L147" s="1621"/>
      <c r="M147" s="1621"/>
      <c r="N147" s="1621"/>
      <c r="O147" s="1621"/>
      <c r="P147" s="1621"/>
      <c r="Q147" s="1621"/>
      <c r="R147" s="1621"/>
      <c r="S147" s="1621"/>
      <c r="T147" s="1621"/>
      <c r="U147" s="1621"/>
      <c r="V147" s="547"/>
      <c r="W147" s="547"/>
      <c r="X147" s="547"/>
    </row>
    <row r="148" spans="1:24" ht="13.5">
      <c r="A148" s="547"/>
      <c r="B148" s="547"/>
      <c r="C148" s="1621" t="str">
        <f>cst_wskakunin_owner2__space2</f>
        <v/>
      </c>
      <c r="D148" s="1621"/>
      <c r="E148" s="1621"/>
      <c r="F148" s="1621"/>
      <c r="G148" s="1621"/>
      <c r="H148" s="1621"/>
      <c r="I148" s="1621"/>
      <c r="J148" s="1621"/>
      <c r="K148" s="1621"/>
      <c r="L148" s="1621"/>
      <c r="M148" s="1621"/>
      <c r="N148" s="1621"/>
      <c r="O148" s="1621"/>
      <c r="P148" s="1621"/>
      <c r="Q148" s="1621"/>
      <c r="R148" s="1621"/>
      <c r="S148" s="1621"/>
      <c r="T148" s="1621"/>
      <c r="U148" s="1621"/>
      <c r="V148" s="552" t="str">
        <f>IF(C148="","","印")</f>
        <v/>
      </c>
      <c r="W148" s="547"/>
      <c r="X148" s="547"/>
    </row>
    <row r="149" spans="1:24" ht="13.5">
      <c r="A149" s="547"/>
      <c r="B149" s="547"/>
      <c r="C149" s="547"/>
      <c r="D149" s="547"/>
      <c r="E149" s="547"/>
      <c r="F149" s="547"/>
      <c r="G149" s="547"/>
      <c r="H149" s="547"/>
      <c r="I149" s="547"/>
      <c r="J149" s="547"/>
      <c r="K149" s="547"/>
      <c r="L149" s="547"/>
      <c r="M149" s="547"/>
      <c r="N149" s="547"/>
      <c r="O149" s="547"/>
      <c r="P149" s="547"/>
      <c r="Q149" s="547"/>
      <c r="R149" s="547"/>
      <c r="S149" s="547"/>
      <c r="T149" s="547"/>
      <c r="U149" s="547"/>
      <c r="V149" s="547"/>
      <c r="W149" s="547"/>
      <c r="X149" s="547"/>
    </row>
    <row r="150" spans="1:24" ht="13.5">
      <c r="A150" s="547"/>
      <c r="B150" s="547"/>
      <c r="C150" s="1623" t="str">
        <f>cst_wskakunin_owner3__address</f>
        <v/>
      </c>
      <c r="D150" s="1623"/>
      <c r="E150" s="1623"/>
      <c r="F150" s="1623"/>
      <c r="G150" s="1623"/>
      <c r="H150" s="1623"/>
      <c r="I150" s="1623"/>
      <c r="J150" s="1623"/>
      <c r="K150" s="1623"/>
      <c r="L150" s="1623"/>
      <c r="M150" s="1623"/>
      <c r="N150" s="1623"/>
      <c r="O150" s="1623"/>
      <c r="P150" s="1623"/>
      <c r="Q150" s="1623"/>
      <c r="R150" s="1623"/>
      <c r="S150" s="1623"/>
      <c r="T150" s="1623"/>
      <c r="U150" s="1623"/>
      <c r="V150" s="1623"/>
      <c r="W150" s="1623"/>
      <c r="X150" s="547"/>
    </row>
    <row r="151" spans="1:24" ht="13.5">
      <c r="A151" s="547"/>
      <c r="B151" s="547"/>
      <c r="C151" s="1621" t="str">
        <f>cst_wskakunin_owner3_JIMU_NAME</f>
        <v/>
      </c>
      <c r="D151" s="1621"/>
      <c r="E151" s="1621"/>
      <c r="F151" s="1621"/>
      <c r="G151" s="1621"/>
      <c r="H151" s="1621"/>
      <c r="I151" s="1621"/>
      <c r="J151" s="1621"/>
      <c r="K151" s="1621"/>
      <c r="L151" s="1621"/>
      <c r="M151" s="1621"/>
      <c r="N151" s="1621"/>
      <c r="O151" s="1621"/>
      <c r="P151" s="1621"/>
      <c r="Q151" s="1621"/>
      <c r="R151" s="1621"/>
      <c r="S151" s="1621"/>
      <c r="T151" s="1621"/>
      <c r="U151" s="1621"/>
      <c r="V151" s="547"/>
      <c r="W151" s="547"/>
      <c r="X151" s="547"/>
    </row>
    <row r="152" spans="1:24" ht="13.5">
      <c r="A152" s="547"/>
      <c r="B152" s="547"/>
      <c r="C152" s="1621" t="str">
        <f>cst_wskakunin_owner3__space2</f>
        <v/>
      </c>
      <c r="D152" s="1621"/>
      <c r="E152" s="1621"/>
      <c r="F152" s="1621"/>
      <c r="G152" s="1621"/>
      <c r="H152" s="1621"/>
      <c r="I152" s="1621"/>
      <c r="J152" s="1621"/>
      <c r="K152" s="1621"/>
      <c r="L152" s="1621"/>
      <c r="M152" s="1621"/>
      <c r="N152" s="1621"/>
      <c r="O152" s="1621"/>
      <c r="P152" s="1621"/>
      <c r="Q152" s="1621"/>
      <c r="R152" s="1621"/>
      <c r="S152" s="1621"/>
      <c r="T152" s="1621"/>
      <c r="U152" s="1621"/>
      <c r="V152" s="552" t="str">
        <f>IF(C152="","","印")</f>
        <v/>
      </c>
      <c r="W152" s="547"/>
      <c r="X152" s="547"/>
    </row>
    <row r="153" spans="1:24" ht="13.5">
      <c r="A153" s="547"/>
      <c r="B153" s="547"/>
      <c r="C153" s="547"/>
      <c r="D153" s="547"/>
      <c r="E153" s="547"/>
      <c r="F153" s="547"/>
      <c r="G153" s="547"/>
      <c r="H153" s="547"/>
      <c r="I153" s="547"/>
      <c r="J153" s="547"/>
      <c r="K153" s="547"/>
      <c r="L153" s="547"/>
      <c r="M153" s="547"/>
      <c r="N153" s="547"/>
      <c r="O153" s="547"/>
      <c r="P153" s="547"/>
      <c r="Q153" s="547"/>
      <c r="R153" s="547"/>
      <c r="S153" s="547"/>
      <c r="T153" s="547"/>
      <c r="U153" s="547"/>
      <c r="V153" s="547"/>
      <c r="W153" s="547"/>
      <c r="X153" s="547"/>
    </row>
    <row r="154" spans="1:24" ht="15" customHeight="1">
      <c r="A154" s="547"/>
      <c r="B154" s="547"/>
      <c r="C154" s="1623" t="str">
        <f>cst_wskakunin_owner4__address</f>
        <v/>
      </c>
      <c r="D154" s="1623"/>
      <c r="E154" s="1623"/>
      <c r="F154" s="1623"/>
      <c r="G154" s="1623"/>
      <c r="H154" s="1623"/>
      <c r="I154" s="1623"/>
      <c r="J154" s="1623"/>
      <c r="K154" s="1623"/>
      <c r="L154" s="1623"/>
      <c r="M154" s="1623"/>
      <c r="N154" s="1623"/>
      <c r="O154" s="1623"/>
      <c r="P154" s="1623"/>
      <c r="Q154" s="1623"/>
      <c r="R154" s="1623"/>
      <c r="S154" s="1623"/>
      <c r="T154" s="1623"/>
      <c r="U154" s="1623"/>
      <c r="V154" s="1623"/>
      <c r="W154" s="1623"/>
      <c r="X154" s="547"/>
    </row>
    <row r="155" spans="1:24" ht="15" customHeight="1">
      <c r="A155" s="547"/>
      <c r="B155" s="547"/>
      <c r="C155" s="1621" t="str">
        <f>cst_wskakunin_owner4_JIMU_NAME</f>
        <v/>
      </c>
      <c r="D155" s="1621"/>
      <c r="E155" s="1621"/>
      <c r="F155" s="1621"/>
      <c r="G155" s="1621"/>
      <c r="H155" s="1621"/>
      <c r="I155" s="1621"/>
      <c r="J155" s="1621"/>
      <c r="K155" s="1621"/>
      <c r="L155" s="1621"/>
      <c r="M155" s="1621"/>
      <c r="N155" s="1621"/>
      <c r="O155" s="1621"/>
      <c r="P155" s="1621"/>
      <c r="Q155" s="1621"/>
      <c r="R155" s="1621"/>
      <c r="S155" s="1621"/>
      <c r="T155" s="1621"/>
      <c r="U155" s="1621"/>
      <c r="V155" s="547"/>
      <c r="W155" s="547"/>
      <c r="X155" s="547"/>
    </row>
    <row r="156" spans="1:24" ht="15" customHeight="1">
      <c r="A156" s="547"/>
      <c r="B156" s="547"/>
      <c r="C156" s="1621" t="str">
        <f>cst_wskakunin_owner4__space2</f>
        <v/>
      </c>
      <c r="D156" s="1621"/>
      <c r="E156" s="1621"/>
      <c r="F156" s="1621"/>
      <c r="G156" s="1621"/>
      <c r="H156" s="1621"/>
      <c r="I156" s="1621"/>
      <c r="J156" s="1621"/>
      <c r="K156" s="1621"/>
      <c r="L156" s="1621"/>
      <c r="M156" s="1621"/>
      <c r="N156" s="1621"/>
      <c r="O156" s="1621"/>
      <c r="P156" s="1621"/>
      <c r="Q156" s="1621"/>
      <c r="R156" s="1621"/>
      <c r="S156" s="1621"/>
      <c r="T156" s="1621"/>
      <c r="U156" s="1621"/>
      <c r="V156" s="552" t="str">
        <f>IF(C156="","","印")</f>
        <v/>
      </c>
      <c r="W156" s="547"/>
      <c r="X156" s="547"/>
    </row>
    <row r="163" spans="1:24" ht="13.5">
      <c r="A163" s="873"/>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row>
    <row r="164" spans="1:24" ht="13.5">
      <c r="A164" s="873"/>
      <c r="B164" s="873"/>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row>
    <row r="165" spans="1:24" ht="13.5">
      <c r="A165" s="873"/>
      <c r="B165" s="873"/>
      <c r="C165" s="873"/>
      <c r="D165" s="873"/>
      <c r="E165" s="873"/>
      <c r="F165" s="873"/>
      <c r="G165" s="873"/>
      <c r="H165" s="873"/>
      <c r="I165" s="873"/>
      <c r="J165" s="873"/>
      <c r="K165" s="873"/>
      <c r="L165" s="873"/>
      <c r="M165" s="873"/>
      <c r="N165" s="873"/>
      <c r="O165" s="873"/>
      <c r="P165" s="873"/>
      <c r="Q165" s="873"/>
      <c r="R165" s="873"/>
      <c r="S165" s="873"/>
      <c r="T165" s="873"/>
      <c r="U165" s="873"/>
      <c r="V165" s="873"/>
      <c r="W165" s="873"/>
      <c r="X165" s="873"/>
    </row>
    <row r="166" spans="1:24" ht="13.5">
      <c r="A166" s="873"/>
      <c r="B166" s="873"/>
      <c r="C166" s="873"/>
      <c r="D166" s="873"/>
      <c r="E166" s="873"/>
      <c r="F166" s="873"/>
      <c r="G166" s="873"/>
      <c r="H166" s="873"/>
      <c r="I166" s="873"/>
      <c r="J166" s="873"/>
      <c r="K166" s="873"/>
      <c r="L166" s="873"/>
      <c r="M166" s="873"/>
      <c r="N166" s="873"/>
      <c r="O166" s="873"/>
      <c r="P166" s="873"/>
      <c r="Q166" s="873"/>
      <c r="R166" s="873"/>
      <c r="S166" s="873"/>
      <c r="T166" s="873"/>
      <c r="U166" s="873"/>
      <c r="V166" s="873"/>
      <c r="W166" s="873"/>
      <c r="X166" s="873"/>
    </row>
    <row r="167" spans="1:24" ht="13.5">
      <c r="A167" s="873"/>
      <c r="B167" s="873"/>
      <c r="C167" s="873"/>
      <c r="D167" s="873"/>
      <c r="E167" s="873"/>
      <c r="F167" s="873"/>
      <c r="G167" s="873"/>
      <c r="H167" s="873"/>
      <c r="I167" s="873"/>
      <c r="J167" s="873"/>
      <c r="K167" s="873"/>
      <c r="L167" s="873"/>
      <c r="M167" s="873"/>
      <c r="N167" s="873"/>
      <c r="O167" s="873"/>
      <c r="P167" s="873"/>
      <c r="Q167" s="873"/>
      <c r="R167" s="873"/>
      <c r="S167" s="873"/>
      <c r="T167" s="873"/>
      <c r="U167" s="873"/>
      <c r="V167" s="873"/>
      <c r="W167" s="873"/>
      <c r="X167" s="873"/>
    </row>
    <row r="168" spans="1:24" ht="13.5">
      <c r="A168" s="873"/>
      <c r="B168" s="873"/>
      <c r="C168" s="873"/>
      <c r="D168" s="873"/>
      <c r="E168" s="873"/>
      <c r="F168" s="873"/>
      <c r="G168" s="873"/>
      <c r="H168" s="873"/>
      <c r="I168" s="873"/>
      <c r="J168" s="873"/>
      <c r="K168" s="873"/>
      <c r="L168" s="873"/>
      <c r="M168" s="873"/>
      <c r="N168" s="873"/>
      <c r="O168" s="873"/>
      <c r="P168" s="873"/>
      <c r="Q168" s="873"/>
      <c r="R168" s="873"/>
      <c r="S168" s="873"/>
      <c r="T168" s="873"/>
      <c r="U168" s="873"/>
      <c r="V168" s="873"/>
      <c r="W168" s="873"/>
      <c r="X168" s="873"/>
    </row>
    <row r="169" spans="1:24" ht="13.5">
      <c r="A169" s="873"/>
      <c r="B169" s="873"/>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row>
    <row r="170" spans="1:24" ht="13.5">
      <c r="A170" s="873"/>
      <c r="B170" s="873"/>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row>
    <row r="171" spans="1:24" ht="13.5">
      <c r="A171" s="873"/>
      <c r="B171" s="873"/>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row>
    <row r="172" spans="1:24" ht="13.5">
      <c r="A172" s="873"/>
      <c r="B172" s="873"/>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row>
    <row r="173" spans="1:24" ht="13.5">
      <c r="A173" s="873"/>
      <c r="B173" s="873"/>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row>
    <row r="174" spans="1:24" ht="13.5">
      <c r="A174" s="873"/>
      <c r="B174" s="873"/>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row>
    <row r="175" spans="1:24" ht="13.5">
      <c r="A175" s="873"/>
      <c r="B175" s="873"/>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row>
    <row r="176" spans="1:24" ht="13.5">
      <c r="A176" s="873"/>
      <c r="B176" s="873"/>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row>
    <row r="177" spans="1:24" ht="13.5">
      <c r="A177" s="873"/>
      <c r="B177" s="873"/>
      <c r="C177" s="873"/>
      <c r="D177" s="873"/>
      <c r="E177" s="873"/>
      <c r="F177" s="873"/>
      <c r="G177" s="873"/>
      <c r="H177" s="873"/>
      <c r="I177" s="873"/>
      <c r="J177" s="873"/>
      <c r="K177" s="873"/>
      <c r="L177" s="873"/>
      <c r="M177" s="873"/>
      <c r="N177" s="873"/>
      <c r="O177" s="873"/>
      <c r="P177" s="873"/>
      <c r="Q177" s="873"/>
      <c r="R177" s="873"/>
      <c r="S177" s="873"/>
      <c r="T177" s="873"/>
      <c r="U177" s="873"/>
      <c r="V177" s="873"/>
      <c r="W177" s="873"/>
      <c r="X177" s="873"/>
    </row>
  </sheetData>
  <mergeCells count="71">
    <mergeCell ref="C155:U155"/>
    <mergeCell ref="C156:U156"/>
    <mergeCell ref="C147:U147"/>
    <mergeCell ref="C148:U148"/>
    <mergeCell ref="C150:W150"/>
    <mergeCell ref="C151:U151"/>
    <mergeCell ref="C152:U152"/>
    <mergeCell ref="C154:W154"/>
    <mergeCell ref="C146:W146"/>
    <mergeCell ref="C118:U118"/>
    <mergeCell ref="C119:U119"/>
    <mergeCell ref="A124:X124"/>
    <mergeCell ref="G129:V129"/>
    <mergeCell ref="C131:W132"/>
    <mergeCell ref="C134:W134"/>
    <mergeCell ref="D135:W138"/>
    <mergeCell ref="B140:C140"/>
    <mergeCell ref="C142:W142"/>
    <mergeCell ref="C143:U143"/>
    <mergeCell ref="C144:U144"/>
    <mergeCell ref="A112:X113"/>
    <mergeCell ref="G64:W64"/>
    <mergeCell ref="G67:W67"/>
    <mergeCell ref="G68:W69"/>
    <mergeCell ref="H70:W70"/>
    <mergeCell ref="G71:W72"/>
    <mergeCell ref="G73:W73"/>
    <mergeCell ref="G76:W76"/>
    <mergeCell ref="G77:W78"/>
    <mergeCell ref="H79:W79"/>
    <mergeCell ref="G80:W81"/>
    <mergeCell ref="G82:W82"/>
    <mergeCell ref="G62:W63"/>
    <mergeCell ref="R50:T50"/>
    <mergeCell ref="U50:X50"/>
    <mergeCell ref="A51:D54"/>
    <mergeCell ref="F51:G54"/>
    <mergeCell ref="H51:I54"/>
    <mergeCell ref="J51:K54"/>
    <mergeCell ref="L51:M54"/>
    <mergeCell ref="N51:Q54"/>
    <mergeCell ref="R51:T53"/>
    <mergeCell ref="U51:X54"/>
    <mergeCell ref="R54:T54"/>
    <mergeCell ref="A55:X55"/>
    <mergeCell ref="G58:W58"/>
    <mergeCell ref="G59:W60"/>
    <mergeCell ref="H61:W61"/>
    <mergeCell ref="D38:K38"/>
    <mergeCell ref="N38:S38"/>
    <mergeCell ref="D41:W43"/>
    <mergeCell ref="A50:D50"/>
    <mergeCell ref="E50:E54"/>
    <mergeCell ref="F50:G50"/>
    <mergeCell ref="H50:I50"/>
    <mergeCell ref="J50:K50"/>
    <mergeCell ref="L50:M50"/>
    <mergeCell ref="N50:Q50"/>
    <mergeCell ref="D35:K35"/>
    <mergeCell ref="N35:S35"/>
    <mergeCell ref="A1:X2"/>
    <mergeCell ref="Q4:R4"/>
    <mergeCell ref="Q9:W10"/>
    <mergeCell ref="Q11:W12"/>
    <mergeCell ref="Q13:W13"/>
    <mergeCell ref="Q15:W16"/>
    <mergeCell ref="Q17:W17"/>
    <mergeCell ref="Q18:W19"/>
    <mergeCell ref="Q20:W20"/>
    <mergeCell ref="A25:X25"/>
    <mergeCell ref="D31:W32"/>
  </mergeCells>
  <phoneticPr fontId="139"/>
  <pageMargins left="0.70866141732283472" right="0.70866141732283472" top="0.74803149606299213" bottom="0.74803149606299213" header="0.31496062992125984" footer="0.31496062992125984"/>
  <pageSetup paperSize="9" orientation="portrait" blackAndWhite="1" r:id="rId1"/>
  <rowBreaks count="2" manualBreakCount="2">
    <brk id="54" max="23" man="1"/>
    <brk id="11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ltText="">
                <anchor moveWithCells="1">
                  <from>
                    <xdr:col>3</xdr:col>
                    <xdr:colOff>28575</xdr:colOff>
                    <xdr:row>26</xdr:row>
                    <xdr:rowOff>180975</xdr:rowOff>
                  </from>
                  <to>
                    <xdr:col>4</xdr:col>
                    <xdr:colOff>57150</xdr:colOff>
                    <xdr:row>28</xdr:row>
                    <xdr:rowOff>9525</xdr:rowOff>
                  </to>
                </anchor>
              </controlPr>
            </control>
          </mc:Choice>
        </mc:AlternateContent>
        <mc:AlternateContent xmlns:mc="http://schemas.openxmlformats.org/markup-compatibility/2006">
          <mc:Choice Requires="x14">
            <control shapeId="56322" r:id="rId5" name="Check Box 2">
              <controlPr defaultSize="0" autoFill="0" autoLine="0" autoPict="0" altText="">
                <anchor moveWithCells="1">
                  <from>
                    <xdr:col>7</xdr:col>
                    <xdr:colOff>28575</xdr:colOff>
                    <xdr:row>26</xdr:row>
                    <xdr:rowOff>180975</xdr:rowOff>
                  </from>
                  <to>
                    <xdr:col>8</xdr:col>
                    <xdr:colOff>57150</xdr:colOff>
                    <xdr:row>28</xdr:row>
                    <xdr:rowOff>9525</xdr:rowOff>
                  </to>
                </anchor>
              </controlPr>
            </control>
          </mc:Choice>
        </mc:AlternateContent>
        <mc:AlternateContent xmlns:mc="http://schemas.openxmlformats.org/markup-compatibility/2006">
          <mc:Choice Requires="x14">
            <control shapeId="56323" r:id="rId6" name="Check Box 3">
              <controlPr defaultSize="0" autoFill="0" autoLine="0" autoPict="0" altText="">
                <anchor moveWithCells="1">
                  <from>
                    <xdr:col>2</xdr:col>
                    <xdr:colOff>28575</xdr:colOff>
                    <xdr:row>126</xdr:row>
                    <xdr:rowOff>180975</xdr:rowOff>
                  </from>
                  <to>
                    <xdr:col>3</xdr:col>
                    <xdr:colOff>57150</xdr:colOff>
                    <xdr:row>128</xdr:row>
                    <xdr:rowOff>9525</xdr:rowOff>
                  </to>
                </anchor>
              </controlPr>
            </control>
          </mc:Choice>
        </mc:AlternateContent>
        <mc:AlternateContent xmlns:mc="http://schemas.openxmlformats.org/markup-compatibility/2006">
          <mc:Choice Requires="x14">
            <control shapeId="56324" r:id="rId7" name="Check Box 4">
              <controlPr defaultSize="0" autoFill="0" autoLine="0" autoPict="0" altText="">
                <anchor moveWithCells="1">
                  <from>
                    <xdr:col>6</xdr:col>
                    <xdr:colOff>28575</xdr:colOff>
                    <xdr:row>126</xdr:row>
                    <xdr:rowOff>180975</xdr:rowOff>
                  </from>
                  <to>
                    <xdr:col>7</xdr:col>
                    <xdr:colOff>57150</xdr:colOff>
                    <xdr:row>128</xdr:row>
                    <xdr:rowOff>9525</xdr:rowOff>
                  </to>
                </anchor>
              </controlPr>
            </control>
          </mc:Choice>
        </mc:AlternateContent>
        <mc:AlternateContent xmlns:mc="http://schemas.openxmlformats.org/markup-compatibility/2006">
          <mc:Choice Requires="x14">
            <control shapeId="56325" r:id="rId8" name="Check Box 5">
              <controlPr defaultSize="0" autoFill="0" autoLine="0" autoPict="0" altText="">
                <anchor moveWithCells="1">
                  <from>
                    <xdr:col>10</xdr:col>
                    <xdr:colOff>28575</xdr:colOff>
                    <xdr:row>126</xdr:row>
                    <xdr:rowOff>180975</xdr:rowOff>
                  </from>
                  <to>
                    <xdr:col>11</xdr:col>
                    <xdr:colOff>57150</xdr:colOff>
                    <xdr:row>128</xdr:row>
                    <xdr:rowOff>9525</xdr:rowOff>
                  </to>
                </anchor>
              </controlPr>
            </control>
          </mc:Choice>
        </mc:AlternateContent>
        <mc:AlternateContent xmlns:mc="http://schemas.openxmlformats.org/markup-compatibility/2006">
          <mc:Choice Requires="x14">
            <control shapeId="56326" r:id="rId9" name="Check Box 6">
              <controlPr defaultSize="0" autoFill="0" autoLine="0" autoPict="0" altText="">
                <anchor moveWithCells="1">
                  <from>
                    <xdr:col>2</xdr:col>
                    <xdr:colOff>28575</xdr:colOff>
                    <xdr:row>127</xdr:row>
                    <xdr:rowOff>180975</xdr:rowOff>
                  </from>
                  <to>
                    <xdr:col>3</xdr:col>
                    <xdr:colOff>57150</xdr:colOff>
                    <xdr:row>129</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E00-000000000000}">
          <xm:sqref>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Q20:W20 JM20:JS20 TI20:TO20 ADE20:ADK20 ANA20:ANG20 AWW20:AXC20 BGS20:BGY20 BQO20:BQU20 CAK20:CAQ20 CKG20:CKM20 CUC20:CUI20 DDY20:DEE20 DNU20:DOA20 DXQ20:DXW20 EHM20:EHS20 ERI20:ERO20 FBE20:FBK20 FLA20:FLG20 FUW20:FVC20 GES20:GEY20 GOO20:GOU20 GYK20:GYQ20 HIG20:HIM20 HSC20:HSI20 IBY20:ICE20 ILU20:IMA20 IVQ20:IVW20 JFM20:JFS20 JPI20:JPO20 JZE20:JZK20 KJA20:KJG20 KSW20:KTC20 LCS20:LCY20 LMO20:LMU20 LWK20:LWQ20 MGG20:MGM20 MQC20:MQI20 MZY20:NAE20 NJU20:NKA20 NTQ20:NTW20 ODM20:ODS20 ONI20:ONO20 OXE20:OXK20 PHA20:PHG20 PQW20:PRC20 QAS20:QAY20 QKO20:QKU20 QUK20:QUQ20 REG20:REM20 ROC20:ROI20 RXY20:RYE20 SHU20:SIA20 SRQ20:SRW20 TBM20:TBS20 TLI20:TLO20 TVE20:TVK20 UFA20:UFG20 UOW20:UPC20 UYS20:UYY20 VIO20:VIU20 VSK20:VSQ20 WCG20:WCM20 WMC20:WMI20 WVY20:WWE20 Q65556:W65556 JM65556:JS65556 TI65556:TO65556 ADE65556:ADK65556 ANA65556:ANG65556 AWW65556:AXC65556 BGS65556:BGY65556 BQO65556:BQU65556 CAK65556:CAQ65556 CKG65556:CKM65556 CUC65556:CUI65556 DDY65556:DEE65556 DNU65556:DOA65556 DXQ65556:DXW65556 EHM65556:EHS65556 ERI65556:ERO65556 FBE65556:FBK65556 FLA65556:FLG65556 FUW65556:FVC65556 GES65556:GEY65556 GOO65556:GOU65556 GYK65556:GYQ65556 HIG65556:HIM65556 HSC65556:HSI65556 IBY65556:ICE65556 ILU65556:IMA65556 IVQ65556:IVW65556 JFM65556:JFS65556 JPI65556:JPO65556 JZE65556:JZK65556 KJA65556:KJG65556 KSW65556:KTC65556 LCS65556:LCY65556 LMO65556:LMU65556 LWK65556:LWQ65556 MGG65556:MGM65556 MQC65556:MQI65556 MZY65556:NAE65556 NJU65556:NKA65556 NTQ65556:NTW65556 ODM65556:ODS65556 ONI65556:ONO65556 OXE65556:OXK65556 PHA65556:PHG65556 PQW65556:PRC65556 QAS65556:QAY65556 QKO65556:QKU65556 QUK65556:QUQ65556 REG65556:REM65556 ROC65556:ROI65556 RXY65556:RYE65556 SHU65556:SIA65556 SRQ65556:SRW65556 TBM65556:TBS65556 TLI65556:TLO65556 TVE65556:TVK65556 UFA65556:UFG65556 UOW65556:UPC65556 UYS65556:UYY65556 VIO65556:VIU65556 VSK65556:VSQ65556 WCG65556:WCM65556 WMC65556:WMI65556 WVY65556:WWE65556 Q131092:W131092 JM131092:JS131092 TI131092:TO131092 ADE131092:ADK131092 ANA131092:ANG131092 AWW131092:AXC131092 BGS131092:BGY131092 BQO131092:BQU131092 CAK131092:CAQ131092 CKG131092:CKM131092 CUC131092:CUI131092 DDY131092:DEE131092 DNU131092:DOA131092 DXQ131092:DXW131092 EHM131092:EHS131092 ERI131092:ERO131092 FBE131092:FBK131092 FLA131092:FLG131092 FUW131092:FVC131092 GES131092:GEY131092 GOO131092:GOU131092 GYK131092:GYQ131092 HIG131092:HIM131092 HSC131092:HSI131092 IBY131092:ICE131092 ILU131092:IMA131092 IVQ131092:IVW131092 JFM131092:JFS131092 JPI131092:JPO131092 JZE131092:JZK131092 KJA131092:KJG131092 KSW131092:KTC131092 LCS131092:LCY131092 LMO131092:LMU131092 LWK131092:LWQ131092 MGG131092:MGM131092 MQC131092:MQI131092 MZY131092:NAE131092 NJU131092:NKA131092 NTQ131092:NTW131092 ODM131092:ODS131092 ONI131092:ONO131092 OXE131092:OXK131092 PHA131092:PHG131092 PQW131092:PRC131092 QAS131092:QAY131092 QKO131092:QKU131092 QUK131092:QUQ131092 REG131092:REM131092 ROC131092:ROI131092 RXY131092:RYE131092 SHU131092:SIA131092 SRQ131092:SRW131092 TBM131092:TBS131092 TLI131092:TLO131092 TVE131092:TVK131092 UFA131092:UFG131092 UOW131092:UPC131092 UYS131092:UYY131092 VIO131092:VIU131092 VSK131092:VSQ131092 WCG131092:WCM131092 WMC131092:WMI131092 WVY131092:WWE131092 Q196628:W196628 JM196628:JS196628 TI196628:TO196628 ADE196628:ADK196628 ANA196628:ANG196628 AWW196628:AXC196628 BGS196628:BGY196628 BQO196628:BQU196628 CAK196628:CAQ196628 CKG196628:CKM196628 CUC196628:CUI196628 DDY196628:DEE196628 DNU196628:DOA196628 DXQ196628:DXW196628 EHM196628:EHS196628 ERI196628:ERO196628 FBE196628:FBK196628 FLA196628:FLG196628 FUW196628:FVC196628 GES196628:GEY196628 GOO196628:GOU196628 GYK196628:GYQ196628 HIG196628:HIM196628 HSC196628:HSI196628 IBY196628:ICE196628 ILU196628:IMA196628 IVQ196628:IVW196628 JFM196628:JFS196628 JPI196628:JPO196628 JZE196628:JZK196628 KJA196628:KJG196628 KSW196628:KTC196628 LCS196628:LCY196628 LMO196628:LMU196628 LWK196628:LWQ196628 MGG196628:MGM196628 MQC196628:MQI196628 MZY196628:NAE196628 NJU196628:NKA196628 NTQ196628:NTW196628 ODM196628:ODS196628 ONI196628:ONO196628 OXE196628:OXK196628 PHA196628:PHG196628 PQW196628:PRC196628 QAS196628:QAY196628 QKO196628:QKU196628 QUK196628:QUQ196628 REG196628:REM196628 ROC196628:ROI196628 RXY196628:RYE196628 SHU196628:SIA196628 SRQ196628:SRW196628 TBM196628:TBS196628 TLI196628:TLO196628 TVE196628:TVK196628 UFA196628:UFG196628 UOW196628:UPC196628 UYS196628:UYY196628 VIO196628:VIU196628 VSK196628:VSQ196628 WCG196628:WCM196628 WMC196628:WMI196628 WVY196628:WWE196628 Q262164:W262164 JM262164:JS262164 TI262164:TO262164 ADE262164:ADK262164 ANA262164:ANG262164 AWW262164:AXC262164 BGS262164:BGY262164 BQO262164:BQU262164 CAK262164:CAQ262164 CKG262164:CKM262164 CUC262164:CUI262164 DDY262164:DEE262164 DNU262164:DOA262164 DXQ262164:DXW262164 EHM262164:EHS262164 ERI262164:ERO262164 FBE262164:FBK262164 FLA262164:FLG262164 FUW262164:FVC262164 GES262164:GEY262164 GOO262164:GOU262164 GYK262164:GYQ262164 HIG262164:HIM262164 HSC262164:HSI262164 IBY262164:ICE262164 ILU262164:IMA262164 IVQ262164:IVW262164 JFM262164:JFS262164 JPI262164:JPO262164 JZE262164:JZK262164 KJA262164:KJG262164 KSW262164:KTC262164 LCS262164:LCY262164 LMO262164:LMU262164 LWK262164:LWQ262164 MGG262164:MGM262164 MQC262164:MQI262164 MZY262164:NAE262164 NJU262164:NKA262164 NTQ262164:NTW262164 ODM262164:ODS262164 ONI262164:ONO262164 OXE262164:OXK262164 PHA262164:PHG262164 PQW262164:PRC262164 QAS262164:QAY262164 QKO262164:QKU262164 QUK262164:QUQ262164 REG262164:REM262164 ROC262164:ROI262164 RXY262164:RYE262164 SHU262164:SIA262164 SRQ262164:SRW262164 TBM262164:TBS262164 TLI262164:TLO262164 TVE262164:TVK262164 UFA262164:UFG262164 UOW262164:UPC262164 UYS262164:UYY262164 VIO262164:VIU262164 VSK262164:VSQ262164 WCG262164:WCM262164 WMC262164:WMI262164 WVY262164:WWE262164 Q327700:W327700 JM327700:JS327700 TI327700:TO327700 ADE327700:ADK327700 ANA327700:ANG327700 AWW327700:AXC327700 BGS327700:BGY327700 BQO327700:BQU327700 CAK327700:CAQ327700 CKG327700:CKM327700 CUC327700:CUI327700 DDY327700:DEE327700 DNU327700:DOA327700 DXQ327700:DXW327700 EHM327700:EHS327700 ERI327700:ERO327700 FBE327700:FBK327700 FLA327700:FLG327700 FUW327700:FVC327700 GES327700:GEY327700 GOO327700:GOU327700 GYK327700:GYQ327700 HIG327700:HIM327700 HSC327700:HSI327700 IBY327700:ICE327700 ILU327700:IMA327700 IVQ327700:IVW327700 JFM327700:JFS327700 JPI327700:JPO327700 JZE327700:JZK327700 KJA327700:KJG327700 KSW327700:KTC327700 LCS327700:LCY327700 LMO327700:LMU327700 LWK327700:LWQ327700 MGG327700:MGM327700 MQC327700:MQI327700 MZY327700:NAE327700 NJU327700:NKA327700 NTQ327700:NTW327700 ODM327700:ODS327700 ONI327700:ONO327700 OXE327700:OXK327700 PHA327700:PHG327700 PQW327700:PRC327700 QAS327700:QAY327700 QKO327700:QKU327700 QUK327700:QUQ327700 REG327700:REM327700 ROC327700:ROI327700 RXY327700:RYE327700 SHU327700:SIA327700 SRQ327700:SRW327700 TBM327700:TBS327700 TLI327700:TLO327700 TVE327700:TVK327700 UFA327700:UFG327700 UOW327700:UPC327700 UYS327700:UYY327700 VIO327700:VIU327700 VSK327700:VSQ327700 WCG327700:WCM327700 WMC327700:WMI327700 WVY327700:WWE327700 Q393236:W393236 JM393236:JS393236 TI393236:TO393236 ADE393236:ADK393236 ANA393236:ANG393236 AWW393236:AXC393236 BGS393236:BGY393236 BQO393236:BQU393236 CAK393236:CAQ393236 CKG393236:CKM393236 CUC393236:CUI393236 DDY393236:DEE393236 DNU393236:DOA393236 DXQ393236:DXW393236 EHM393236:EHS393236 ERI393236:ERO393236 FBE393236:FBK393236 FLA393236:FLG393236 FUW393236:FVC393236 GES393236:GEY393236 GOO393236:GOU393236 GYK393236:GYQ393236 HIG393236:HIM393236 HSC393236:HSI393236 IBY393236:ICE393236 ILU393236:IMA393236 IVQ393236:IVW393236 JFM393236:JFS393236 JPI393236:JPO393236 JZE393236:JZK393236 KJA393236:KJG393236 KSW393236:KTC393236 LCS393236:LCY393236 LMO393236:LMU393236 LWK393236:LWQ393236 MGG393236:MGM393236 MQC393236:MQI393236 MZY393236:NAE393236 NJU393236:NKA393236 NTQ393236:NTW393236 ODM393236:ODS393236 ONI393236:ONO393236 OXE393236:OXK393236 PHA393236:PHG393236 PQW393236:PRC393236 QAS393236:QAY393236 QKO393236:QKU393236 QUK393236:QUQ393236 REG393236:REM393236 ROC393236:ROI393236 RXY393236:RYE393236 SHU393236:SIA393236 SRQ393236:SRW393236 TBM393236:TBS393236 TLI393236:TLO393236 TVE393236:TVK393236 UFA393236:UFG393236 UOW393236:UPC393236 UYS393236:UYY393236 VIO393236:VIU393236 VSK393236:VSQ393236 WCG393236:WCM393236 WMC393236:WMI393236 WVY393236:WWE393236 Q458772:W458772 JM458772:JS458772 TI458772:TO458772 ADE458772:ADK458772 ANA458772:ANG458772 AWW458772:AXC458772 BGS458772:BGY458772 BQO458772:BQU458772 CAK458772:CAQ458772 CKG458772:CKM458772 CUC458772:CUI458772 DDY458772:DEE458772 DNU458772:DOA458772 DXQ458772:DXW458772 EHM458772:EHS458772 ERI458772:ERO458772 FBE458772:FBK458772 FLA458772:FLG458772 FUW458772:FVC458772 GES458772:GEY458772 GOO458772:GOU458772 GYK458772:GYQ458772 HIG458772:HIM458772 HSC458772:HSI458772 IBY458772:ICE458772 ILU458772:IMA458772 IVQ458772:IVW458772 JFM458772:JFS458772 JPI458772:JPO458772 JZE458772:JZK458772 KJA458772:KJG458772 KSW458772:KTC458772 LCS458772:LCY458772 LMO458772:LMU458772 LWK458772:LWQ458772 MGG458772:MGM458772 MQC458772:MQI458772 MZY458772:NAE458772 NJU458772:NKA458772 NTQ458772:NTW458772 ODM458772:ODS458772 ONI458772:ONO458772 OXE458772:OXK458772 PHA458772:PHG458772 PQW458772:PRC458772 QAS458772:QAY458772 QKO458772:QKU458772 QUK458772:QUQ458772 REG458772:REM458772 ROC458772:ROI458772 RXY458772:RYE458772 SHU458772:SIA458772 SRQ458772:SRW458772 TBM458772:TBS458772 TLI458772:TLO458772 TVE458772:TVK458772 UFA458772:UFG458772 UOW458772:UPC458772 UYS458772:UYY458772 VIO458772:VIU458772 VSK458772:VSQ458772 WCG458772:WCM458772 WMC458772:WMI458772 WVY458772:WWE458772 Q524308:W524308 JM524308:JS524308 TI524308:TO524308 ADE524308:ADK524308 ANA524308:ANG524308 AWW524308:AXC524308 BGS524308:BGY524308 BQO524308:BQU524308 CAK524308:CAQ524308 CKG524308:CKM524308 CUC524308:CUI524308 DDY524308:DEE524308 DNU524308:DOA524308 DXQ524308:DXW524308 EHM524308:EHS524308 ERI524308:ERO524308 FBE524308:FBK524308 FLA524308:FLG524308 FUW524308:FVC524308 GES524308:GEY524308 GOO524308:GOU524308 GYK524308:GYQ524308 HIG524308:HIM524308 HSC524308:HSI524308 IBY524308:ICE524308 ILU524308:IMA524308 IVQ524308:IVW524308 JFM524308:JFS524308 JPI524308:JPO524308 JZE524308:JZK524308 KJA524308:KJG524308 KSW524308:KTC524308 LCS524308:LCY524308 LMO524308:LMU524308 LWK524308:LWQ524308 MGG524308:MGM524308 MQC524308:MQI524308 MZY524308:NAE524308 NJU524308:NKA524308 NTQ524308:NTW524308 ODM524308:ODS524308 ONI524308:ONO524308 OXE524308:OXK524308 PHA524308:PHG524308 PQW524308:PRC524308 QAS524308:QAY524308 QKO524308:QKU524308 QUK524308:QUQ524308 REG524308:REM524308 ROC524308:ROI524308 RXY524308:RYE524308 SHU524308:SIA524308 SRQ524308:SRW524308 TBM524308:TBS524308 TLI524308:TLO524308 TVE524308:TVK524308 UFA524308:UFG524308 UOW524308:UPC524308 UYS524308:UYY524308 VIO524308:VIU524308 VSK524308:VSQ524308 WCG524308:WCM524308 WMC524308:WMI524308 WVY524308:WWE524308 Q589844:W589844 JM589844:JS589844 TI589844:TO589844 ADE589844:ADK589844 ANA589844:ANG589844 AWW589844:AXC589844 BGS589844:BGY589844 BQO589844:BQU589844 CAK589844:CAQ589844 CKG589844:CKM589844 CUC589844:CUI589844 DDY589844:DEE589844 DNU589844:DOA589844 DXQ589844:DXW589844 EHM589844:EHS589844 ERI589844:ERO589844 FBE589844:FBK589844 FLA589844:FLG589844 FUW589844:FVC589844 GES589844:GEY589844 GOO589844:GOU589844 GYK589844:GYQ589844 HIG589844:HIM589844 HSC589844:HSI589844 IBY589844:ICE589844 ILU589844:IMA589844 IVQ589844:IVW589844 JFM589844:JFS589844 JPI589844:JPO589844 JZE589844:JZK589844 KJA589844:KJG589844 KSW589844:KTC589844 LCS589844:LCY589844 LMO589844:LMU589844 LWK589844:LWQ589844 MGG589844:MGM589844 MQC589844:MQI589844 MZY589844:NAE589844 NJU589844:NKA589844 NTQ589844:NTW589844 ODM589844:ODS589844 ONI589844:ONO589844 OXE589844:OXK589844 PHA589844:PHG589844 PQW589844:PRC589844 QAS589844:QAY589844 QKO589844:QKU589844 QUK589844:QUQ589844 REG589844:REM589844 ROC589844:ROI589844 RXY589844:RYE589844 SHU589844:SIA589844 SRQ589844:SRW589844 TBM589844:TBS589844 TLI589844:TLO589844 TVE589844:TVK589844 UFA589844:UFG589844 UOW589844:UPC589844 UYS589844:UYY589844 VIO589844:VIU589844 VSK589844:VSQ589844 WCG589844:WCM589844 WMC589844:WMI589844 WVY589844:WWE589844 Q655380:W655380 JM655380:JS655380 TI655380:TO655380 ADE655380:ADK655380 ANA655380:ANG655380 AWW655380:AXC655380 BGS655380:BGY655380 BQO655380:BQU655380 CAK655380:CAQ655380 CKG655380:CKM655380 CUC655380:CUI655380 DDY655380:DEE655380 DNU655380:DOA655380 DXQ655380:DXW655380 EHM655380:EHS655380 ERI655380:ERO655380 FBE655380:FBK655380 FLA655380:FLG655380 FUW655380:FVC655380 GES655380:GEY655380 GOO655380:GOU655380 GYK655380:GYQ655380 HIG655380:HIM655380 HSC655380:HSI655380 IBY655380:ICE655380 ILU655380:IMA655380 IVQ655380:IVW655380 JFM655380:JFS655380 JPI655380:JPO655380 JZE655380:JZK655380 KJA655380:KJG655380 KSW655380:KTC655380 LCS655380:LCY655380 LMO655380:LMU655380 LWK655380:LWQ655380 MGG655380:MGM655380 MQC655380:MQI655380 MZY655380:NAE655380 NJU655380:NKA655380 NTQ655380:NTW655380 ODM655380:ODS655380 ONI655380:ONO655380 OXE655380:OXK655380 PHA655380:PHG655380 PQW655380:PRC655380 QAS655380:QAY655380 QKO655380:QKU655380 QUK655380:QUQ655380 REG655380:REM655380 ROC655380:ROI655380 RXY655380:RYE655380 SHU655380:SIA655380 SRQ655380:SRW655380 TBM655380:TBS655380 TLI655380:TLO655380 TVE655380:TVK655380 UFA655380:UFG655380 UOW655380:UPC655380 UYS655380:UYY655380 VIO655380:VIU655380 VSK655380:VSQ655380 WCG655380:WCM655380 WMC655380:WMI655380 WVY655380:WWE655380 Q720916:W720916 JM720916:JS720916 TI720916:TO720916 ADE720916:ADK720916 ANA720916:ANG720916 AWW720916:AXC720916 BGS720916:BGY720916 BQO720916:BQU720916 CAK720916:CAQ720916 CKG720916:CKM720916 CUC720916:CUI720916 DDY720916:DEE720916 DNU720916:DOA720916 DXQ720916:DXW720916 EHM720916:EHS720916 ERI720916:ERO720916 FBE720916:FBK720916 FLA720916:FLG720916 FUW720916:FVC720916 GES720916:GEY720916 GOO720916:GOU720916 GYK720916:GYQ720916 HIG720916:HIM720916 HSC720916:HSI720916 IBY720916:ICE720916 ILU720916:IMA720916 IVQ720916:IVW720916 JFM720916:JFS720916 JPI720916:JPO720916 JZE720916:JZK720916 KJA720916:KJG720916 KSW720916:KTC720916 LCS720916:LCY720916 LMO720916:LMU720916 LWK720916:LWQ720916 MGG720916:MGM720916 MQC720916:MQI720916 MZY720916:NAE720916 NJU720916:NKA720916 NTQ720916:NTW720916 ODM720916:ODS720916 ONI720916:ONO720916 OXE720916:OXK720916 PHA720916:PHG720916 PQW720916:PRC720916 QAS720916:QAY720916 QKO720916:QKU720916 QUK720916:QUQ720916 REG720916:REM720916 ROC720916:ROI720916 RXY720916:RYE720916 SHU720916:SIA720916 SRQ720916:SRW720916 TBM720916:TBS720916 TLI720916:TLO720916 TVE720916:TVK720916 UFA720916:UFG720916 UOW720916:UPC720916 UYS720916:UYY720916 VIO720916:VIU720916 VSK720916:VSQ720916 WCG720916:WCM720916 WMC720916:WMI720916 WVY720916:WWE720916 Q786452:W786452 JM786452:JS786452 TI786452:TO786452 ADE786452:ADK786452 ANA786452:ANG786452 AWW786452:AXC786452 BGS786452:BGY786452 BQO786452:BQU786452 CAK786452:CAQ786452 CKG786452:CKM786452 CUC786452:CUI786452 DDY786452:DEE786452 DNU786452:DOA786452 DXQ786452:DXW786452 EHM786452:EHS786452 ERI786452:ERO786452 FBE786452:FBK786452 FLA786452:FLG786452 FUW786452:FVC786452 GES786452:GEY786452 GOO786452:GOU786452 GYK786452:GYQ786452 HIG786452:HIM786452 HSC786452:HSI786452 IBY786452:ICE786452 ILU786452:IMA786452 IVQ786452:IVW786452 JFM786452:JFS786452 JPI786452:JPO786452 JZE786452:JZK786452 KJA786452:KJG786452 KSW786452:KTC786452 LCS786452:LCY786452 LMO786452:LMU786452 LWK786452:LWQ786452 MGG786452:MGM786452 MQC786452:MQI786452 MZY786452:NAE786452 NJU786452:NKA786452 NTQ786452:NTW786452 ODM786452:ODS786452 ONI786452:ONO786452 OXE786452:OXK786452 PHA786452:PHG786452 PQW786452:PRC786452 QAS786452:QAY786452 QKO786452:QKU786452 QUK786452:QUQ786452 REG786452:REM786452 ROC786452:ROI786452 RXY786452:RYE786452 SHU786452:SIA786452 SRQ786452:SRW786452 TBM786452:TBS786452 TLI786452:TLO786452 TVE786452:TVK786452 UFA786452:UFG786452 UOW786452:UPC786452 UYS786452:UYY786452 VIO786452:VIU786452 VSK786452:VSQ786452 WCG786452:WCM786452 WMC786452:WMI786452 WVY786452:WWE786452 Q851988:W851988 JM851988:JS851988 TI851988:TO851988 ADE851988:ADK851988 ANA851988:ANG851988 AWW851988:AXC851988 BGS851988:BGY851988 BQO851988:BQU851988 CAK851988:CAQ851988 CKG851988:CKM851988 CUC851988:CUI851988 DDY851988:DEE851988 DNU851988:DOA851988 DXQ851988:DXW851988 EHM851988:EHS851988 ERI851988:ERO851988 FBE851988:FBK851988 FLA851988:FLG851988 FUW851988:FVC851988 GES851988:GEY851988 GOO851988:GOU851988 GYK851988:GYQ851988 HIG851988:HIM851988 HSC851988:HSI851988 IBY851988:ICE851988 ILU851988:IMA851988 IVQ851988:IVW851988 JFM851988:JFS851988 JPI851988:JPO851988 JZE851988:JZK851988 KJA851988:KJG851988 KSW851988:KTC851988 LCS851988:LCY851988 LMO851988:LMU851988 LWK851988:LWQ851988 MGG851988:MGM851988 MQC851988:MQI851988 MZY851988:NAE851988 NJU851988:NKA851988 NTQ851988:NTW851988 ODM851988:ODS851988 ONI851988:ONO851988 OXE851988:OXK851988 PHA851988:PHG851988 PQW851988:PRC851988 QAS851988:QAY851988 QKO851988:QKU851988 QUK851988:QUQ851988 REG851988:REM851988 ROC851988:ROI851988 RXY851988:RYE851988 SHU851988:SIA851988 SRQ851988:SRW851988 TBM851988:TBS851988 TLI851988:TLO851988 TVE851988:TVK851988 UFA851988:UFG851988 UOW851988:UPC851988 UYS851988:UYY851988 VIO851988:VIU851988 VSK851988:VSQ851988 WCG851988:WCM851988 WMC851988:WMI851988 WVY851988:WWE851988 Q917524:W917524 JM917524:JS917524 TI917524:TO917524 ADE917524:ADK917524 ANA917524:ANG917524 AWW917524:AXC917524 BGS917524:BGY917524 BQO917524:BQU917524 CAK917524:CAQ917524 CKG917524:CKM917524 CUC917524:CUI917524 DDY917524:DEE917524 DNU917524:DOA917524 DXQ917524:DXW917524 EHM917524:EHS917524 ERI917524:ERO917524 FBE917524:FBK917524 FLA917524:FLG917524 FUW917524:FVC917524 GES917524:GEY917524 GOO917524:GOU917524 GYK917524:GYQ917524 HIG917524:HIM917524 HSC917524:HSI917524 IBY917524:ICE917524 ILU917524:IMA917524 IVQ917524:IVW917524 JFM917524:JFS917524 JPI917524:JPO917524 JZE917524:JZK917524 KJA917524:KJG917524 KSW917524:KTC917524 LCS917524:LCY917524 LMO917524:LMU917524 LWK917524:LWQ917524 MGG917524:MGM917524 MQC917524:MQI917524 MZY917524:NAE917524 NJU917524:NKA917524 NTQ917524:NTW917524 ODM917524:ODS917524 ONI917524:ONO917524 OXE917524:OXK917524 PHA917524:PHG917524 PQW917524:PRC917524 QAS917524:QAY917524 QKO917524:QKU917524 QUK917524:QUQ917524 REG917524:REM917524 ROC917524:ROI917524 RXY917524:RYE917524 SHU917524:SIA917524 SRQ917524:SRW917524 TBM917524:TBS917524 TLI917524:TLO917524 TVE917524:TVK917524 UFA917524:UFG917524 UOW917524:UPC917524 UYS917524:UYY917524 VIO917524:VIU917524 VSK917524:VSQ917524 WCG917524:WCM917524 WMC917524:WMI917524 WVY917524:WWE917524 Q983060:W983060 JM983060:JS983060 TI983060:TO983060 ADE983060:ADK983060 ANA983060:ANG983060 AWW983060:AXC983060 BGS983060:BGY983060 BQO983060:BQU983060 CAK983060:CAQ983060 CKG983060:CKM983060 CUC983060:CUI983060 DDY983060:DEE983060 DNU983060:DOA983060 DXQ983060:DXW983060 EHM983060:EHS983060 ERI983060:ERO983060 FBE983060:FBK983060 FLA983060:FLG983060 FUW983060:FVC983060 GES983060:GEY983060 GOO983060:GOU983060 GYK983060:GYQ983060 HIG983060:HIM983060 HSC983060:HSI983060 IBY983060:ICE983060 ILU983060:IMA983060 IVQ983060:IVW983060 JFM983060:JFS983060 JPI983060:JPO983060 JZE983060:JZK983060 KJA983060:KJG983060 KSW983060:KTC983060 LCS983060:LCY983060 LMO983060:LMU983060 LWK983060:LWQ983060 MGG983060:MGM983060 MQC983060:MQI983060 MZY983060:NAE983060 NJU983060:NKA983060 NTQ983060:NTW983060 ODM983060:ODS983060 ONI983060:ONO983060 OXE983060:OXK983060 PHA983060:PHG983060 PQW983060:PRC983060 QAS983060:QAY983060 QKO983060:QKU983060 QUK983060:QUQ983060 REG983060:REM983060 ROC983060:ROI983060 RXY983060:RYE983060 SHU983060:SIA983060 SRQ983060:SRW983060 TBM983060:TBS983060 TLI983060:TLO983060 TVE983060:TVK983060 UFA983060:UFG983060 UOW983060:UPC983060 UYS983060:UYY983060 VIO983060:VIU983060 VSK983060:VSQ983060 WCG983060:WCM983060 WMC983060:WMI983060 WVY983060:WWE983060 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G73:W73 JC73:JS73 SY73:TO73 ACU73:ADK73 AMQ73:ANG73 AWM73:AXC73 BGI73:BGY73 BQE73:BQU73 CAA73:CAQ73 CJW73:CKM73 CTS73:CUI73 DDO73:DEE73 DNK73:DOA73 DXG73:DXW73 EHC73:EHS73 EQY73:ERO73 FAU73:FBK73 FKQ73:FLG73 FUM73:FVC73 GEI73:GEY73 GOE73:GOU73 GYA73:GYQ73 HHW73:HIM73 HRS73:HSI73 IBO73:ICE73 ILK73:IMA73 IVG73:IVW73 JFC73:JFS73 JOY73:JPO73 JYU73:JZK73 KIQ73:KJG73 KSM73:KTC73 LCI73:LCY73 LME73:LMU73 LWA73:LWQ73 MFW73:MGM73 MPS73:MQI73 MZO73:NAE73 NJK73:NKA73 NTG73:NTW73 ODC73:ODS73 OMY73:ONO73 OWU73:OXK73 PGQ73:PHG73 PQM73:PRC73 QAI73:QAY73 QKE73:QKU73 QUA73:QUQ73 RDW73:REM73 RNS73:ROI73 RXO73:RYE73 SHK73:SIA73 SRG73:SRW73 TBC73:TBS73 TKY73:TLO73 TUU73:TVK73 UEQ73:UFG73 UOM73:UPC73 UYI73:UYY73 VIE73:VIU73 VSA73:VSQ73 WBW73:WCM73 WLS73:WMI73 WVO73:WWE73 G65609:W65609 JC65609:JS65609 SY65609:TO65609 ACU65609:ADK65609 AMQ65609:ANG65609 AWM65609:AXC65609 BGI65609:BGY65609 BQE65609:BQU65609 CAA65609:CAQ65609 CJW65609:CKM65609 CTS65609:CUI65609 DDO65609:DEE65609 DNK65609:DOA65609 DXG65609:DXW65609 EHC65609:EHS65609 EQY65609:ERO65609 FAU65609:FBK65609 FKQ65609:FLG65609 FUM65609:FVC65609 GEI65609:GEY65609 GOE65609:GOU65609 GYA65609:GYQ65609 HHW65609:HIM65609 HRS65609:HSI65609 IBO65609:ICE65609 ILK65609:IMA65609 IVG65609:IVW65609 JFC65609:JFS65609 JOY65609:JPO65609 JYU65609:JZK65609 KIQ65609:KJG65609 KSM65609:KTC65609 LCI65609:LCY65609 LME65609:LMU65609 LWA65609:LWQ65609 MFW65609:MGM65609 MPS65609:MQI65609 MZO65609:NAE65609 NJK65609:NKA65609 NTG65609:NTW65609 ODC65609:ODS65609 OMY65609:ONO65609 OWU65609:OXK65609 PGQ65609:PHG65609 PQM65609:PRC65609 QAI65609:QAY65609 QKE65609:QKU65609 QUA65609:QUQ65609 RDW65609:REM65609 RNS65609:ROI65609 RXO65609:RYE65609 SHK65609:SIA65609 SRG65609:SRW65609 TBC65609:TBS65609 TKY65609:TLO65609 TUU65609:TVK65609 UEQ65609:UFG65609 UOM65609:UPC65609 UYI65609:UYY65609 VIE65609:VIU65609 VSA65609:VSQ65609 WBW65609:WCM65609 WLS65609:WMI65609 WVO65609:WWE65609 G131145:W131145 JC131145:JS131145 SY131145:TO131145 ACU131145:ADK131145 AMQ131145:ANG131145 AWM131145:AXC131145 BGI131145:BGY131145 BQE131145:BQU131145 CAA131145:CAQ131145 CJW131145:CKM131145 CTS131145:CUI131145 DDO131145:DEE131145 DNK131145:DOA131145 DXG131145:DXW131145 EHC131145:EHS131145 EQY131145:ERO131145 FAU131145:FBK131145 FKQ131145:FLG131145 FUM131145:FVC131145 GEI131145:GEY131145 GOE131145:GOU131145 GYA131145:GYQ131145 HHW131145:HIM131145 HRS131145:HSI131145 IBO131145:ICE131145 ILK131145:IMA131145 IVG131145:IVW131145 JFC131145:JFS131145 JOY131145:JPO131145 JYU131145:JZK131145 KIQ131145:KJG131145 KSM131145:KTC131145 LCI131145:LCY131145 LME131145:LMU131145 LWA131145:LWQ131145 MFW131145:MGM131145 MPS131145:MQI131145 MZO131145:NAE131145 NJK131145:NKA131145 NTG131145:NTW131145 ODC131145:ODS131145 OMY131145:ONO131145 OWU131145:OXK131145 PGQ131145:PHG131145 PQM131145:PRC131145 QAI131145:QAY131145 QKE131145:QKU131145 QUA131145:QUQ131145 RDW131145:REM131145 RNS131145:ROI131145 RXO131145:RYE131145 SHK131145:SIA131145 SRG131145:SRW131145 TBC131145:TBS131145 TKY131145:TLO131145 TUU131145:TVK131145 UEQ131145:UFG131145 UOM131145:UPC131145 UYI131145:UYY131145 VIE131145:VIU131145 VSA131145:VSQ131145 WBW131145:WCM131145 WLS131145:WMI131145 WVO131145:WWE131145 G196681:W196681 JC196681:JS196681 SY196681:TO196681 ACU196681:ADK196681 AMQ196681:ANG196681 AWM196681:AXC196681 BGI196681:BGY196681 BQE196681:BQU196681 CAA196681:CAQ196681 CJW196681:CKM196681 CTS196681:CUI196681 DDO196681:DEE196681 DNK196681:DOA196681 DXG196681:DXW196681 EHC196681:EHS196681 EQY196681:ERO196681 FAU196681:FBK196681 FKQ196681:FLG196681 FUM196681:FVC196681 GEI196681:GEY196681 GOE196681:GOU196681 GYA196681:GYQ196681 HHW196681:HIM196681 HRS196681:HSI196681 IBO196681:ICE196681 ILK196681:IMA196681 IVG196681:IVW196681 JFC196681:JFS196681 JOY196681:JPO196681 JYU196681:JZK196681 KIQ196681:KJG196681 KSM196681:KTC196681 LCI196681:LCY196681 LME196681:LMU196681 LWA196681:LWQ196681 MFW196681:MGM196681 MPS196681:MQI196681 MZO196681:NAE196681 NJK196681:NKA196681 NTG196681:NTW196681 ODC196681:ODS196681 OMY196681:ONO196681 OWU196681:OXK196681 PGQ196681:PHG196681 PQM196681:PRC196681 QAI196681:QAY196681 QKE196681:QKU196681 QUA196681:QUQ196681 RDW196681:REM196681 RNS196681:ROI196681 RXO196681:RYE196681 SHK196681:SIA196681 SRG196681:SRW196681 TBC196681:TBS196681 TKY196681:TLO196681 TUU196681:TVK196681 UEQ196681:UFG196681 UOM196681:UPC196681 UYI196681:UYY196681 VIE196681:VIU196681 VSA196681:VSQ196681 WBW196681:WCM196681 WLS196681:WMI196681 WVO196681:WWE196681 G262217:W262217 JC262217:JS262217 SY262217:TO262217 ACU262217:ADK262217 AMQ262217:ANG262217 AWM262217:AXC262217 BGI262217:BGY262217 BQE262217:BQU262217 CAA262217:CAQ262217 CJW262217:CKM262217 CTS262217:CUI262217 DDO262217:DEE262217 DNK262217:DOA262217 DXG262217:DXW262217 EHC262217:EHS262217 EQY262217:ERO262217 FAU262217:FBK262217 FKQ262217:FLG262217 FUM262217:FVC262217 GEI262217:GEY262217 GOE262217:GOU262217 GYA262217:GYQ262217 HHW262217:HIM262217 HRS262217:HSI262217 IBO262217:ICE262217 ILK262217:IMA262217 IVG262217:IVW262217 JFC262217:JFS262217 JOY262217:JPO262217 JYU262217:JZK262217 KIQ262217:KJG262217 KSM262217:KTC262217 LCI262217:LCY262217 LME262217:LMU262217 LWA262217:LWQ262217 MFW262217:MGM262217 MPS262217:MQI262217 MZO262217:NAE262217 NJK262217:NKA262217 NTG262217:NTW262217 ODC262217:ODS262217 OMY262217:ONO262217 OWU262217:OXK262217 PGQ262217:PHG262217 PQM262217:PRC262217 QAI262217:QAY262217 QKE262217:QKU262217 QUA262217:QUQ262217 RDW262217:REM262217 RNS262217:ROI262217 RXO262217:RYE262217 SHK262217:SIA262217 SRG262217:SRW262217 TBC262217:TBS262217 TKY262217:TLO262217 TUU262217:TVK262217 UEQ262217:UFG262217 UOM262217:UPC262217 UYI262217:UYY262217 VIE262217:VIU262217 VSA262217:VSQ262217 WBW262217:WCM262217 WLS262217:WMI262217 WVO262217:WWE262217 G327753:W327753 JC327753:JS327753 SY327753:TO327753 ACU327753:ADK327753 AMQ327753:ANG327753 AWM327753:AXC327753 BGI327753:BGY327753 BQE327753:BQU327753 CAA327753:CAQ327753 CJW327753:CKM327753 CTS327753:CUI327753 DDO327753:DEE327753 DNK327753:DOA327753 DXG327753:DXW327753 EHC327753:EHS327753 EQY327753:ERO327753 FAU327753:FBK327753 FKQ327753:FLG327753 FUM327753:FVC327753 GEI327753:GEY327753 GOE327753:GOU327753 GYA327753:GYQ327753 HHW327753:HIM327753 HRS327753:HSI327753 IBO327753:ICE327753 ILK327753:IMA327753 IVG327753:IVW327753 JFC327753:JFS327753 JOY327753:JPO327753 JYU327753:JZK327753 KIQ327753:KJG327753 KSM327753:KTC327753 LCI327753:LCY327753 LME327753:LMU327753 LWA327753:LWQ327753 MFW327753:MGM327753 MPS327753:MQI327753 MZO327753:NAE327753 NJK327753:NKA327753 NTG327753:NTW327753 ODC327753:ODS327753 OMY327753:ONO327753 OWU327753:OXK327753 PGQ327753:PHG327753 PQM327753:PRC327753 QAI327753:QAY327753 QKE327753:QKU327753 QUA327753:QUQ327753 RDW327753:REM327753 RNS327753:ROI327753 RXO327753:RYE327753 SHK327753:SIA327753 SRG327753:SRW327753 TBC327753:TBS327753 TKY327753:TLO327753 TUU327753:TVK327753 UEQ327753:UFG327753 UOM327753:UPC327753 UYI327753:UYY327753 VIE327753:VIU327753 VSA327753:VSQ327753 WBW327753:WCM327753 WLS327753:WMI327753 WVO327753:WWE327753 G393289:W393289 JC393289:JS393289 SY393289:TO393289 ACU393289:ADK393289 AMQ393289:ANG393289 AWM393289:AXC393289 BGI393289:BGY393289 BQE393289:BQU393289 CAA393289:CAQ393289 CJW393289:CKM393289 CTS393289:CUI393289 DDO393289:DEE393289 DNK393289:DOA393289 DXG393289:DXW393289 EHC393289:EHS393289 EQY393289:ERO393289 FAU393289:FBK393289 FKQ393289:FLG393289 FUM393289:FVC393289 GEI393289:GEY393289 GOE393289:GOU393289 GYA393289:GYQ393289 HHW393289:HIM393289 HRS393289:HSI393289 IBO393289:ICE393289 ILK393289:IMA393289 IVG393289:IVW393289 JFC393289:JFS393289 JOY393289:JPO393289 JYU393289:JZK393289 KIQ393289:KJG393289 KSM393289:KTC393289 LCI393289:LCY393289 LME393289:LMU393289 LWA393289:LWQ393289 MFW393289:MGM393289 MPS393289:MQI393289 MZO393289:NAE393289 NJK393289:NKA393289 NTG393289:NTW393289 ODC393289:ODS393289 OMY393289:ONO393289 OWU393289:OXK393289 PGQ393289:PHG393289 PQM393289:PRC393289 QAI393289:QAY393289 QKE393289:QKU393289 QUA393289:QUQ393289 RDW393289:REM393289 RNS393289:ROI393289 RXO393289:RYE393289 SHK393289:SIA393289 SRG393289:SRW393289 TBC393289:TBS393289 TKY393289:TLO393289 TUU393289:TVK393289 UEQ393289:UFG393289 UOM393289:UPC393289 UYI393289:UYY393289 VIE393289:VIU393289 VSA393289:VSQ393289 WBW393289:WCM393289 WLS393289:WMI393289 WVO393289:WWE393289 G458825:W458825 JC458825:JS458825 SY458825:TO458825 ACU458825:ADK458825 AMQ458825:ANG458825 AWM458825:AXC458825 BGI458825:BGY458825 BQE458825:BQU458825 CAA458825:CAQ458825 CJW458825:CKM458825 CTS458825:CUI458825 DDO458825:DEE458825 DNK458825:DOA458825 DXG458825:DXW458825 EHC458825:EHS458825 EQY458825:ERO458825 FAU458825:FBK458825 FKQ458825:FLG458825 FUM458825:FVC458825 GEI458825:GEY458825 GOE458825:GOU458825 GYA458825:GYQ458825 HHW458825:HIM458825 HRS458825:HSI458825 IBO458825:ICE458825 ILK458825:IMA458825 IVG458825:IVW458825 JFC458825:JFS458825 JOY458825:JPO458825 JYU458825:JZK458825 KIQ458825:KJG458825 KSM458825:KTC458825 LCI458825:LCY458825 LME458825:LMU458825 LWA458825:LWQ458825 MFW458825:MGM458825 MPS458825:MQI458825 MZO458825:NAE458825 NJK458825:NKA458825 NTG458825:NTW458825 ODC458825:ODS458825 OMY458825:ONO458825 OWU458825:OXK458825 PGQ458825:PHG458825 PQM458825:PRC458825 QAI458825:QAY458825 QKE458825:QKU458825 QUA458825:QUQ458825 RDW458825:REM458825 RNS458825:ROI458825 RXO458825:RYE458825 SHK458825:SIA458825 SRG458825:SRW458825 TBC458825:TBS458825 TKY458825:TLO458825 TUU458825:TVK458825 UEQ458825:UFG458825 UOM458825:UPC458825 UYI458825:UYY458825 VIE458825:VIU458825 VSA458825:VSQ458825 WBW458825:WCM458825 WLS458825:WMI458825 WVO458825:WWE458825 G524361:W524361 JC524361:JS524361 SY524361:TO524361 ACU524361:ADK524361 AMQ524361:ANG524361 AWM524361:AXC524361 BGI524361:BGY524361 BQE524361:BQU524361 CAA524361:CAQ524361 CJW524361:CKM524361 CTS524361:CUI524361 DDO524361:DEE524361 DNK524361:DOA524361 DXG524361:DXW524361 EHC524361:EHS524361 EQY524361:ERO524361 FAU524361:FBK524361 FKQ524361:FLG524361 FUM524361:FVC524361 GEI524361:GEY524361 GOE524361:GOU524361 GYA524361:GYQ524361 HHW524361:HIM524361 HRS524361:HSI524361 IBO524361:ICE524361 ILK524361:IMA524361 IVG524361:IVW524361 JFC524361:JFS524361 JOY524361:JPO524361 JYU524361:JZK524361 KIQ524361:KJG524361 KSM524361:KTC524361 LCI524361:LCY524361 LME524361:LMU524361 LWA524361:LWQ524361 MFW524361:MGM524361 MPS524361:MQI524361 MZO524361:NAE524361 NJK524361:NKA524361 NTG524361:NTW524361 ODC524361:ODS524361 OMY524361:ONO524361 OWU524361:OXK524361 PGQ524361:PHG524361 PQM524361:PRC524361 QAI524361:QAY524361 QKE524361:QKU524361 QUA524361:QUQ524361 RDW524361:REM524361 RNS524361:ROI524361 RXO524361:RYE524361 SHK524361:SIA524361 SRG524361:SRW524361 TBC524361:TBS524361 TKY524361:TLO524361 TUU524361:TVK524361 UEQ524361:UFG524361 UOM524361:UPC524361 UYI524361:UYY524361 VIE524361:VIU524361 VSA524361:VSQ524361 WBW524361:WCM524361 WLS524361:WMI524361 WVO524361:WWE524361 G589897:W589897 JC589897:JS589897 SY589897:TO589897 ACU589897:ADK589897 AMQ589897:ANG589897 AWM589897:AXC589897 BGI589897:BGY589897 BQE589897:BQU589897 CAA589897:CAQ589897 CJW589897:CKM589897 CTS589897:CUI589897 DDO589897:DEE589897 DNK589897:DOA589897 DXG589897:DXW589897 EHC589897:EHS589897 EQY589897:ERO589897 FAU589897:FBK589897 FKQ589897:FLG589897 FUM589897:FVC589897 GEI589897:GEY589897 GOE589897:GOU589897 GYA589897:GYQ589897 HHW589897:HIM589897 HRS589897:HSI589897 IBO589897:ICE589897 ILK589897:IMA589897 IVG589897:IVW589897 JFC589897:JFS589897 JOY589897:JPO589897 JYU589897:JZK589897 KIQ589897:KJG589897 KSM589897:KTC589897 LCI589897:LCY589897 LME589897:LMU589897 LWA589897:LWQ589897 MFW589897:MGM589897 MPS589897:MQI589897 MZO589897:NAE589897 NJK589897:NKA589897 NTG589897:NTW589897 ODC589897:ODS589897 OMY589897:ONO589897 OWU589897:OXK589897 PGQ589897:PHG589897 PQM589897:PRC589897 QAI589897:QAY589897 QKE589897:QKU589897 QUA589897:QUQ589897 RDW589897:REM589897 RNS589897:ROI589897 RXO589897:RYE589897 SHK589897:SIA589897 SRG589897:SRW589897 TBC589897:TBS589897 TKY589897:TLO589897 TUU589897:TVK589897 UEQ589897:UFG589897 UOM589897:UPC589897 UYI589897:UYY589897 VIE589897:VIU589897 VSA589897:VSQ589897 WBW589897:WCM589897 WLS589897:WMI589897 WVO589897:WWE589897 G655433:W655433 JC655433:JS655433 SY655433:TO655433 ACU655433:ADK655433 AMQ655433:ANG655433 AWM655433:AXC655433 BGI655433:BGY655433 BQE655433:BQU655433 CAA655433:CAQ655433 CJW655433:CKM655433 CTS655433:CUI655433 DDO655433:DEE655433 DNK655433:DOA655433 DXG655433:DXW655433 EHC655433:EHS655433 EQY655433:ERO655433 FAU655433:FBK655433 FKQ655433:FLG655433 FUM655433:FVC655433 GEI655433:GEY655433 GOE655433:GOU655433 GYA655433:GYQ655433 HHW655433:HIM655433 HRS655433:HSI655433 IBO655433:ICE655433 ILK655433:IMA655433 IVG655433:IVW655433 JFC655433:JFS655433 JOY655433:JPO655433 JYU655433:JZK655433 KIQ655433:KJG655433 KSM655433:KTC655433 LCI655433:LCY655433 LME655433:LMU655433 LWA655433:LWQ655433 MFW655433:MGM655433 MPS655433:MQI655433 MZO655433:NAE655433 NJK655433:NKA655433 NTG655433:NTW655433 ODC655433:ODS655433 OMY655433:ONO655433 OWU655433:OXK655433 PGQ655433:PHG655433 PQM655433:PRC655433 QAI655433:QAY655433 QKE655433:QKU655433 QUA655433:QUQ655433 RDW655433:REM655433 RNS655433:ROI655433 RXO655433:RYE655433 SHK655433:SIA655433 SRG655433:SRW655433 TBC655433:TBS655433 TKY655433:TLO655433 TUU655433:TVK655433 UEQ655433:UFG655433 UOM655433:UPC655433 UYI655433:UYY655433 VIE655433:VIU655433 VSA655433:VSQ655433 WBW655433:WCM655433 WLS655433:WMI655433 WVO655433:WWE655433 G720969:W720969 JC720969:JS720969 SY720969:TO720969 ACU720969:ADK720969 AMQ720969:ANG720969 AWM720969:AXC720969 BGI720969:BGY720969 BQE720969:BQU720969 CAA720969:CAQ720969 CJW720969:CKM720969 CTS720969:CUI720969 DDO720969:DEE720969 DNK720969:DOA720969 DXG720969:DXW720969 EHC720969:EHS720969 EQY720969:ERO720969 FAU720969:FBK720969 FKQ720969:FLG720969 FUM720969:FVC720969 GEI720969:GEY720969 GOE720969:GOU720969 GYA720969:GYQ720969 HHW720969:HIM720969 HRS720969:HSI720969 IBO720969:ICE720969 ILK720969:IMA720969 IVG720969:IVW720969 JFC720969:JFS720969 JOY720969:JPO720969 JYU720969:JZK720969 KIQ720969:KJG720969 KSM720969:KTC720969 LCI720969:LCY720969 LME720969:LMU720969 LWA720969:LWQ720969 MFW720969:MGM720969 MPS720969:MQI720969 MZO720969:NAE720969 NJK720969:NKA720969 NTG720969:NTW720969 ODC720969:ODS720969 OMY720969:ONO720969 OWU720969:OXK720969 PGQ720969:PHG720969 PQM720969:PRC720969 QAI720969:QAY720969 QKE720969:QKU720969 QUA720969:QUQ720969 RDW720969:REM720969 RNS720969:ROI720969 RXO720969:RYE720969 SHK720969:SIA720969 SRG720969:SRW720969 TBC720969:TBS720969 TKY720969:TLO720969 TUU720969:TVK720969 UEQ720969:UFG720969 UOM720969:UPC720969 UYI720969:UYY720969 VIE720969:VIU720969 VSA720969:VSQ720969 WBW720969:WCM720969 WLS720969:WMI720969 WVO720969:WWE720969 G786505:W786505 JC786505:JS786505 SY786505:TO786505 ACU786505:ADK786505 AMQ786505:ANG786505 AWM786505:AXC786505 BGI786505:BGY786505 BQE786505:BQU786505 CAA786505:CAQ786505 CJW786505:CKM786505 CTS786505:CUI786505 DDO786505:DEE786505 DNK786505:DOA786505 DXG786505:DXW786505 EHC786505:EHS786505 EQY786505:ERO786505 FAU786505:FBK786505 FKQ786505:FLG786505 FUM786505:FVC786505 GEI786505:GEY786505 GOE786505:GOU786505 GYA786505:GYQ786505 HHW786505:HIM786505 HRS786505:HSI786505 IBO786505:ICE786505 ILK786505:IMA786505 IVG786505:IVW786505 JFC786505:JFS786505 JOY786505:JPO786505 JYU786505:JZK786505 KIQ786505:KJG786505 KSM786505:KTC786505 LCI786505:LCY786505 LME786505:LMU786505 LWA786505:LWQ786505 MFW786505:MGM786505 MPS786505:MQI786505 MZO786505:NAE786505 NJK786505:NKA786505 NTG786505:NTW786505 ODC786505:ODS786505 OMY786505:ONO786505 OWU786505:OXK786505 PGQ786505:PHG786505 PQM786505:PRC786505 QAI786505:QAY786505 QKE786505:QKU786505 QUA786505:QUQ786505 RDW786505:REM786505 RNS786505:ROI786505 RXO786505:RYE786505 SHK786505:SIA786505 SRG786505:SRW786505 TBC786505:TBS786505 TKY786505:TLO786505 TUU786505:TVK786505 UEQ786505:UFG786505 UOM786505:UPC786505 UYI786505:UYY786505 VIE786505:VIU786505 VSA786505:VSQ786505 WBW786505:WCM786505 WLS786505:WMI786505 WVO786505:WWE786505 G852041:W852041 JC852041:JS852041 SY852041:TO852041 ACU852041:ADK852041 AMQ852041:ANG852041 AWM852041:AXC852041 BGI852041:BGY852041 BQE852041:BQU852041 CAA852041:CAQ852041 CJW852041:CKM852041 CTS852041:CUI852041 DDO852041:DEE852041 DNK852041:DOA852041 DXG852041:DXW852041 EHC852041:EHS852041 EQY852041:ERO852041 FAU852041:FBK852041 FKQ852041:FLG852041 FUM852041:FVC852041 GEI852041:GEY852041 GOE852041:GOU852041 GYA852041:GYQ852041 HHW852041:HIM852041 HRS852041:HSI852041 IBO852041:ICE852041 ILK852041:IMA852041 IVG852041:IVW852041 JFC852041:JFS852041 JOY852041:JPO852041 JYU852041:JZK852041 KIQ852041:KJG852041 KSM852041:KTC852041 LCI852041:LCY852041 LME852041:LMU852041 LWA852041:LWQ852041 MFW852041:MGM852041 MPS852041:MQI852041 MZO852041:NAE852041 NJK852041:NKA852041 NTG852041:NTW852041 ODC852041:ODS852041 OMY852041:ONO852041 OWU852041:OXK852041 PGQ852041:PHG852041 PQM852041:PRC852041 QAI852041:QAY852041 QKE852041:QKU852041 QUA852041:QUQ852041 RDW852041:REM852041 RNS852041:ROI852041 RXO852041:RYE852041 SHK852041:SIA852041 SRG852041:SRW852041 TBC852041:TBS852041 TKY852041:TLO852041 TUU852041:TVK852041 UEQ852041:UFG852041 UOM852041:UPC852041 UYI852041:UYY852041 VIE852041:VIU852041 VSA852041:VSQ852041 WBW852041:WCM852041 WLS852041:WMI852041 WVO852041:WWE852041 G917577:W917577 JC917577:JS917577 SY917577:TO917577 ACU917577:ADK917577 AMQ917577:ANG917577 AWM917577:AXC917577 BGI917577:BGY917577 BQE917577:BQU917577 CAA917577:CAQ917577 CJW917577:CKM917577 CTS917577:CUI917577 DDO917577:DEE917577 DNK917577:DOA917577 DXG917577:DXW917577 EHC917577:EHS917577 EQY917577:ERO917577 FAU917577:FBK917577 FKQ917577:FLG917577 FUM917577:FVC917577 GEI917577:GEY917577 GOE917577:GOU917577 GYA917577:GYQ917577 HHW917577:HIM917577 HRS917577:HSI917577 IBO917577:ICE917577 ILK917577:IMA917577 IVG917577:IVW917577 JFC917577:JFS917577 JOY917577:JPO917577 JYU917577:JZK917577 KIQ917577:KJG917577 KSM917577:KTC917577 LCI917577:LCY917577 LME917577:LMU917577 LWA917577:LWQ917577 MFW917577:MGM917577 MPS917577:MQI917577 MZO917577:NAE917577 NJK917577:NKA917577 NTG917577:NTW917577 ODC917577:ODS917577 OMY917577:ONO917577 OWU917577:OXK917577 PGQ917577:PHG917577 PQM917577:PRC917577 QAI917577:QAY917577 QKE917577:QKU917577 QUA917577:QUQ917577 RDW917577:REM917577 RNS917577:ROI917577 RXO917577:RYE917577 SHK917577:SIA917577 SRG917577:SRW917577 TBC917577:TBS917577 TKY917577:TLO917577 TUU917577:TVK917577 UEQ917577:UFG917577 UOM917577:UPC917577 UYI917577:UYY917577 VIE917577:VIU917577 VSA917577:VSQ917577 WBW917577:WCM917577 WLS917577:WMI917577 WVO917577:WWE917577 G983113:W983113 JC983113:JS983113 SY983113:TO983113 ACU983113:ADK983113 AMQ983113:ANG983113 AWM983113:AXC983113 BGI983113:BGY983113 BQE983113:BQU983113 CAA983113:CAQ983113 CJW983113:CKM983113 CTS983113:CUI983113 DDO983113:DEE983113 DNK983113:DOA983113 DXG983113:DXW983113 EHC983113:EHS983113 EQY983113:ERO983113 FAU983113:FBK983113 FKQ983113:FLG983113 FUM983113:FVC983113 GEI983113:GEY983113 GOE983113:GOU983113 GYA983113:GYQ983113 HHW983113:HIM983113 HRS983113:HSI983113 IBO983113:ICE983113 ILK983113:IMA983113 IVG983113:IVW983113 JFC983113:JFS983113 JOY983113:JPO983113 JYU983113:JZK983113 KIQ983113:KJG983113 KSM983113:KTC983113 LCI983113:LCY983113 LME983113:LMU983113 LWA983113:LWQ983113 MFW983113:MGM983113 MPS983113:MQI983113 MZO983113:NAE983113 NJK983113:NKA983113 NTG983113:NTW983113 ODC983113:ODS983113 OMY983113:ONO983113 OWU983113:OXK983113 PGQ983113:PHG983113 PQM983113:PRC983113 QAI983113:QAY983113 QKE983113:QKU983113 QUA983113:QUQ983113 RDW983113:REM983113 RNS983113:ROI983113 RXO983113:RYE983113 SHK983113:SIA983113 SRG983113:SRW983113 TBC983113:TBS983113 TKY983113:TLO983113 TUU983113:TVK983113 UEQ983113:UFG983113 UOM983113:UPC983113 UYI983113:UYY983113 VIE983113:VIU983113 VSA983113:VSQ983113 WBW983113:WCM983113 WLS983113:WMI983113 WVO983113:WWE983113 G82:W82 JC82:JS82 SY82:TO82 ACU82:ADK82 AMQ82:ANG82 AWM82:AXC82 BGI82:BGY82 BQE82:BQU82 CAA82:CAQ82 CJW82:CKM82 CTS82:CUI82 DDO82:DEE82 DNK82:DOA82 DXG82:DXW82 EHC82:EHS82 EQY82:ERO82 FAU82:FBK82 FKQ82:FLG82 FUM82:FVC82 GEI82:GEY82 GOE82:GOU82 GYA82:GYQ82 HHW82:HIM82 HRS82:HSI82 IBO82:ICE82 ILK82:IMA82 IVG82:IVW82 JFC82:JFS82 JOY82:JPO82 JYU82:JZK82 KIQ82:KJG82 KSM82:KTC82 LCI82:LCY82 LME82:LMU82 LWA82:LWQ82 MFW82:MGM82 MPS82:MQI82 MZO82:NAE82 NJK82:NKA82 NTG82:NTW82 ODC82:ODS82 OMY82:ONO82 OWU82:OXK82 PGQ82:PHG82 PQM82:PRC82 QAI82:QAY82 QKE82:QKU82 QUA82:QUQ82 RDW82:REM82 RNS82:ROI82 RXO82:RYE82 SHK82:SIA82 SRG82:SRW82 TBC82:TBS82 TKY82:TLO82 TUU82:TVK82 UEQ82:UFG82 UOM82:UPC82 UYI82:UYY82 VIE82:VIU82 VSA82:VSQ82 WBW82:WCM82 WLS82:WMI82 WVO82:WWE82 G65618:W65618 JC65618:JS65618 SY65618:TO65618 ACU65618:ADK65618 AMQ65618:ANG65618 AWM65618:AXC65618 BGI65618:BGY65618 BQE65618:BQU65618 CAA65618:CAQ65618 CJW65618:CKM65618 CTS65618:CUI65618 DDO65618:DEE65618 DNK65618:DOA65618 DXG65618:DXW65618 EHC65618:EHS65618 EQY65618:ERO65618 FAU65618:FBK65618 FKQ65618:FLG65618 FUM65618:FVC65618 GEI65618:GEY65618 GOE65618:GOU65618 GYA65618:GYQ65618 HHW65618:HIM65618 HRS65618:HSI65618 IBO65618:ICE65618 ILK65618:IMA65618 IVG65618:IVW65618 JFC65618:JFS65618 JOY65618:JPO65618 JYU65618:JZK65618 KIQ65618:KJG65618 KSM65618:KTC65618 LCI65618:LCY65618 LME65618:LMU65618 LWA65618:LWQ65618 MFW65618:MGM65618 MPS65618:MQI65618 MZO65618:NAE65618 NJK65618:NKA65618 NTG65618:NTW65618 ODC65618:ODS65618 OMY65618:ONO65618 OWU65618:OXK65618 PGQ65618:PHG65618 PQM65618:PRC65618 QAI65618:QAY65618 QKE65618:QKU65618 QUA65618:QUQ65618 RDW65618:REM65618 RNS65618:ROI65618 RXO65618:RYE65618 SHK65618:SIA65618 SRG65618:SRW65618 TBC65618:TBS65618 TKY65618:TLO65618 TUU65618:TVK65618 UEQ65618:UFG65618 UOM65618:UPC65618 UYI65618:UYY65618 VIE65618:VIU65618 VSA65618:VSQ65618 WBW65618:WCM65618 WLS65618:WMI65618 WVO65618:WWE65618 G131154:W131154 JC131154:JS131154 SY131154:TO131154 ACU131154:ADK131154 AMQ131154:ANG131154 AWM131154:AXC131154 BGI131154:BGY131154 BQE131154:BQU131154 CAA131154:CAQ131154 CJW131154:CKM131154 CTS131154:CUI131154 DDO131154:DEE131154 DNK131154:DOA131154 DXG131154:DXW131154 EHC131154:EHS131154 EQY131154:ERO131154 FAU131154:FBK131154 FKQ131154:FLG131154 FUM131154:FVC131154 GEI131154:GEY131154 GOE131154:GOU131154 GYA131154:GYQ131154 HHW131154:HIM131154 HRS131154:HSI131154 IBO131154:ICE131154 ILK131154:IMA131154 IVG131154:IVW131154 JFC131154:JFS131154 JOY131154:JPO131154 JYU131154:JZK131154 KIQ131154:KJG131154 KSM131154:KTC131154 LCI131154:LCY131154 LME131154:LMU131154 LWA131154:LWQ131154 MFW131154:MGM131154 MPS131154:MQI131154 MZO131154:NAE131154 NJK131154:NKA131154 NTG131154:NTW131154 ODC131154:ODS131154 OMY131154:ONO131154 OWU131154:OXK131154 PGQ131154:PHG131154 PQM131154:PRC131154 QAI131154:QAY131154 QKE131154:QKU131154 QUA131154:QUQ131154 RDW131154:REM131154 RNS131154:ROI131154 RXO131154:RYE131154 SHK131154:SIA131154 SRG131154:SRW131154 TBC131154:TBS131154 TKY131154:TLO131154 TUU131154:TVK131154 UEQ131154:UFG131154 UOM131154:UPC131154 UYI131154:UYY131154 VIE131154:VIU131154 VSA131154:VSQ131154 WBW131154:WCM131154 WLS131154:WMI131154 WVO131154:WWE131154 G196690:W196690 JC196690:JS196690 SY196690:TO196690 ACU196690:ADK196690 AMQ196690:ANG196690 AWM196690:AXC196690 BGI196690:BGY196690 BQE196690:BQU196690 CAA196690:CAQ196690 CJW196690:CKM196690 CTS196690:CUI196690 DDO196690:DEE196690 DNK196690:DOA196690 DXG196690:DXW196690 EHC196690:EHS196690 EQY196690:ERO196690 FAU196690:FBK196690 FKQ196690:FLG196690 FUM196690:FVC196690 GEI196690:GEY196690 GOE196690:GOU196690 GYA196690:GYQ196690 HHW196690:HIM196690 HRS196690:HSI196690 IBO196690:ICE196690 ILK196690:IMA196690 IVG196690:IVW196690 JFC196690:JFS196690 JOY196690:JPO196690 JYU196690:JZK196690 KIQ196690:KJG196690 KSM196690:KTC196690 LCI196690:LCY196690 LME196690:LMU196690 LWA196690:LWQ196690 MFW196690:MGM196690 MPS196690:MQI196690 MZO196690:NAE196690 NJK196690:NKA196690 NTG196690:NTW196690 ODC196690:ODS196690 OMY196690:ONO196690 OWU196690:OXK196690 PGQ196690:PHG196690 PQM196690:PRC196690 QAI196690:QAY196690 QKE196690:QKU196690 QUA196690:QUQ196690 RDW196690:REM196690 RNS196690:ROI196690 RXO196690:RYE196690 SHK196690:SIA196690 SRG196690:SRW196690 TBC196690:TBS196690 TKY196690:TLO196690 TUU196690:TVK196690 UEQ196690:UFG196690 UOM196690:UPC196690 UYI196690:UYY196690 VIE196690:VIU196690 VSA196690:VSQ196690 WBW196690:WCM196690 WLS196690:WMI196690 WVO196690:WWE196690 G262226:W262226 JC262226:JS262226 SY262226:TO262226 ACU262226:ADK262226 AMQ262226:ANG262226 AWM262226:AXC262226 BGI262226:BGY262226 BQE262226:BQU262226 CAA262226:CAQ262226 CJW262226:CKM262226 CTS262226:CUI262226 DDO262226:DEE262226 DNK262226:DOA262226 DXG262226:DXW262226 EHC262226:EHS262226 EQY262226:ERO262226 FAU262226:FBK262226 FKQ262226:FLG262226 FUM262226:FVC262226 GEI262226:GEY262226 GOE262226:GOU262226 GYA262226:GYQ262226 HHW262226:HIM262226 HRS262226:HSI262226 IBO262226:ICE262226 ILK262226:IMA262226 IVG262226:IVW262226 JFC262226:JFS262226 JOY262226:JPO262226 JYU262226:JZK262226 KIQ262226:KJG262226 KSM262226:KTC262226 LCI262226:LCY262226 LME262226:LMU262226 LWA262226:LWQ262226 MFW262226:MGM262226 MPS262226:MQI262226 MZO262226:NAE262226 NJK262226:NKA262226 NTG262226:NTW262226 ODC262226:ODS262226 OMY262226:ONO262226 OWU262226:OXK262226 PGQ262226:PHG262226 PQM262226:PRC262226 QAI262226:QAY262226 QKE262226:QKU262226 QUA262226:QUQ262226 RDW262226:REM262226 RNS262226:ROI262226 RXO262226:RYE262226 SHK262226:SIA262226 SRG262226:SRW262226 TBC262226:TBS262226 TKY262226:TLO262226 TUU262226:TVK262226 UEQ262226:UFG262226 UOM262226:UPC262226 UYI262226:UYY262226 VIE262226:VIU262226 VSA262226:VSQ262226 WBW262226:WCM262226 WLS262226:WMI262226 WVO262226:WWE262226 G327762:W327762 JC327762:JS327762 SY327762:TO327762 ACU327762:ADK327762 AMQ327762:ANG327762 AWM327762:AXC327762 BGI327762:BGY327762 BQE327762:BQU327762 CAA327762:CAQ327762 CJW327762:CKM327762 CTS327762:CUI327762 DDO327762:DEE327762 DNK327762:DOA327762 DXG327762:DXW327762 EHC327762:EHS327762 EQY327762:ERO327762 FAU327762:FBK327762 FKQ327762:FLG327762 FUM327762:FVC327762 GEI327762:GEY327762 GOE327762:GOU327762 GYA327762:GYQ327762 HHW327762:HIM327762 HRS327762:HSI327762 IBO327762:ICE327762 ILK327762:IMA327762 IVG327762:IVW327762 JFC327762:JFS327762 JOY327762:JPO327762 JYU327762:JZK327762 KIQ327762:KJG327762 KSM327762:KTC327762 LCI327762:LCY327762 LME327762:LMU327762 LWA327762:LWQ327762 MFW327762:MGM327762 MPS327762:MQI327762 MZO327762:NAE327762 NJK327762:NKA327762 NTG327762:NTW327762 ODC327762:ODS327762 OMY327762:ONO327762 OWU327762:OXK327762 PGQ327762:PHG327762 PQM327762:PRC327762 QAI327762:QAY327762 QKE327762:QKU327762 QUA327762:QUQ327762 RDW327762:REM327762 RNS327762:ROI327762 RXO327762:RYE327762 SHK327762:SIA327762 SRG327762:SRW327762 TBC327762:TBS327762 TKY327762:TLO327762 TUU327762:TVK327762 UEQ327762:UFG327762 UOM327762:UPC327762 UYI327762:UYY327762 VIE327762:VIU327762 VSA327762:VSQ327762 WBW327762:WCM327762 WLS327762:WMI327762 WVO327762:WWE327762 G393298:W393298 JC393298:JS393298 SY393298:TO393298 ACU393298:ADK393298 AMQ393298:ANG393298 AWM393298:AXC393298 BGI393298:BGY393298 BQE393298:BQU393298 CAA393298:CAQ393298 CJW393298:CKM393298 CTS393298:CUI393298 DDO393298:DEE393298 DNK393298:DOA393298 DXG393298:DXW393298 EHC393298:EHS393298 EQY393298:ERO393298 FAU393298:FBK393298 FKQ393298:FLG393298 FUM393298:FVC393298 GEI393298:GEY393298 GOE393298:GOU393298 GYA393298:GYQ393298 HHW393298:HIM393298 HRS393298:HSI393298 IBO393298:ICE393298 ILK393298:IMA393298 IVG393298:IVW393298 JFC393298:JFS393298 JOY393298:JPO393298 JYU393298:JZK393298 KIQ393298:KJG393298 KSM393298:KTC393298 LCI393298:LCY393298 LME393298:LMU393298 LWA393298:LWQ393298 MFW393298:MGM393298 MPS393298:MQI393298 MZO393298:NAE393298 NJK393298:NKA393298 NTG393298:NTW393298 ODC393298:ODS393298 OMY393298:ONO393298 OWU393298:OXK393298 PGQ393298:PHG393298 PQM393298:PRC393298 QAI393298:QAY393298 QKE393298:QKU393298 QUA393298:QUQ393298 RDW393298:REM393298 RNS393298:ROI393298 RXO393298:RYE393298 SHK393298:SIA393298 SRG393298:SRW393298 TBC393298:TBS393298 TKY393298:TLO393298 TUU393298:TVK393298 UEQ393298:UFG393298 UOM393298:UPC393298 UYI393298:UYY393298 VIE393298:VIU393298 VSA393298:VSQ393298 WBW393298:WCM393298 WLS393298:WMI393298 WVO393298:WWE393298 G458834:W458834 JC458834:JS458834 SY458834:TO458834 ACU458834:ADK458834 AMQ458834:ANG458834 AWM458834:AXC458834 BGI458834:BGY458834 BQE458834:BQU458834 CAA458834:CAQ458834 CJW458834:CKM458834 CTS458834:CUI458834 DDO458834:DEE458834 DNK458834:DOA458834 DXG458834:DXW458834 EHC458834:EHS458834 EQY458834:ERO458834 FAU458834:FBK458834 FKQ458834:FLG458834 FUM458834:FVC458834 GEI458834:GEY458834 GOE458834:GOU458834 GYA458834:GYQ458834 HHW458834:HIM458834 HRS458834:HSI458834 IBO458834:ICE458834 ILK458834:IMA458834 IVG458834:IVW458834 JFC458834:JFS458834 JOY458834:JPO458834 JYU458834:JZK458834 KIQ458834:KJG458834 KSM458834:KTC458834 LCI458834:LCY458834 LME458834:LMU458834 LWA458834:LWQ458834 MFW458834:MGM458834 MPS458834:MQI458834 MZO458834:NAE458834 NJK458834:NKA458834 NTG458834:NTW458834 ODC458834:ODS458834 OMY458834:ONO458834 OWU458834:OXK458834 PGQ458834:PHG458834 PQM458834:PRC458834 QAI458834:QAY458834 QKE458834:QKU458834 QUA458834:QUQ458834 RDW458834:REM458834 RNS458834:ROI458834 RXO458834:RYE458834 SHK458834:SIA458834 SRG458834:SRW458834 TBC458834:TBS458834 TKY458834:TLO458834 TUU458834:TVK458834 UEQ458834:UFG458834 UOM458834:UPC458834 UYI458834:UYY458834 VIE458834:VIU458834 VSA458834:VSQ458834 WBW458834:WCM458834 WLS458834:WMI458834 WVO458834:WWE458834 G524370:W524370 JC524370:JS524370 SY524370:TO524370 ACU524370:ADK524370 AMQ524370:ANG524370 AWM524370:AXC524370 BGI524370:BGY524370 BQE524370:BQU524370 CAA524370:CAQ524370 CJW524370:CKM524370 CTS524370:CUI524370 DDO524370:DEE524370 DNK524370:DOA524370 DXG524370:DXW524370 EHC524370:EHS524370 EQY524370:ERO524370 FAU524370:FBK524370 FKQ524370:FLG524370 FUM524370:FVC524370 GEI524370:GEY524370 GOE524370:GOU524370 GYA524370:GYQ524370 HHW524370:HIM524370 HRS524370:HSI524370 IBO524370:ICE524370 ILK524370:IMA524370 IVG524370:IVW524370 JFC524370:JFS524370 JOY524370:JPO524370 JYU524370:JZK524370 KIQ524370:KJG524370 KSM524370:KTC524370 LCI524370:LCY524370 LME524370:LMU524370 LWA524370:LWQ524370 MFW524370:MGM524370 MPS524370:MQI524370 MZO524370:NAE524370 NJK524370:NKA524370 NTG524370:NTW524370 ODC524370:ODS524370 OMY524370:ONO524370 OWU524370:OXK524370 PGQ524370:PHG524370 PQM524370:PRC524370 QAI524370:QAY524370 QKE524370:QKU524370 QUA524370:QUQ524370 RDW524370:REM524370 RNS524370:ROI524370 RXO524370:RYE524370 SHK524370:SIA524370 SRG524370:SRW524370 TBC524370:TBS524370 TKY524370:TLO524370 TUU524370:TVK524370 UEQ524370:UFG524370 UOM524370:UPC524370 UYI524370:UYY524370 VIE524370:VIU524370 VSA524370:VSQ524370 WBW524370:WCM524370 WLS524370:WMI524370 WVO524370:WWE524370 G589906:W589906 JC589906:JS589906 SY589906:TO589906 ACU589906:ADK589906 AMQ589906:ANG589906 AWM589906:AXC589906 BGI589906:BGY589906 BQE589906:BQU589906 CAA589906:CAQ589906 CJW589906:CKM589906 CTS589906:CUI589906 DDO589906:DEE589906 DNK589906:DOA589906 DXG589906:DXW589906 EHC589906:EHS589906 EQY589906:ERO589906 FAU589906:FBK589906 FKQ589906:FLG589906 FUM589906:FVC589906 GEI589906:GEY589906 GOE589906:GOU589906 GYA589906:GYQ589906 HHW589906:HIM589906 HRS589906:HSI589906 IBO589906:ICE589906 ILK589906:IMA589906 IVG589906:IVW589906 JFC589906:JFS589906 JOY589906:JPO589906 JYU589906:JZK589906 KIQ589906:KJG589906 KSM589906:KTC589906 LCI589906:LCY589906 LME589906:LMU589906 LWA589906:LWQ589906 MFW589906:MGM589906 MPS589906:MQI589906 MZO589906:NAE589906 NJK589906:NKA589906 NTG589906:NTW589906 ODC589906:ODS589906 OMY589906:ONO589906 OWU589906:OXK589906 PGQ589906:PHG589906 PQM589906:PRC589906 QAI589906:QAY589906 QKE589906:QKU589906 QUA589906:QUQ589906 RDW589906:REM589906 RNS589906:ROI589906 RXO589906:RYE589906 SHK589906:SIA589906 SRG589906:SRW589906 TBC589906:TBS589906 TKY589906:TLO589906 TUU589906:TVK589906 UEQ589906:UFG589906 UOM589906:UPC589906 UYI589906:UYY589906 VIE589906:VIU589906 VSA589906:VSQ589906 WBW589906:WCM589906 WLS589906:WMI589906 WVO589906:WWE589906 G655442:W655442 JC655442:JS655442 SY655442:TO655442 ACU655442:ADK655442 AMQ655442:ANG655442 AWM655442:AXC655442 BGI655442:BGY655442 BQE655442:BQU655442 CAA655442:CAQ655442 CJW655442:CKM655442 CTS655442:CUI655442 DDO655442:DEE655442 DNK655442:DOA655442 DXG655442:DXW655442 EHC655442:EHS655442 EQY655442:ERO655442 FAU655442:FBK655442 FKQ655442:FLG655442 FUM655442:FVC655442 GEI655442:GEY655442 GOE655442:GOU655442 GYA655442:GYQ655442 HHW655442:HIM655442 HRS655442:HSI655442 IBO655442:ICE655442 ILK655442:IMA655442 IVG655442:IVW655442 JFC655442:JFS655442 JOY655442:JPO655442 JYU655442:JZK655442 KIQ655442:KJG655442 KSM655442:KTC655442 LCI655442:LCY655442 LME655442:LMU655442 LWA655442:LWQ655442 MFW655442:MGM655442 MPS655442:MQI655442 MZO655442:NAE655442 NJK655442:NKA655442 NTG655442:NTW655442 ODC655442:ODS655442 OMY655442:ONO655442 OWU655442:OXK655442 PGQ655442:PHG655442 PQM655442:PRC655442 QAI655442:QAY655442 QKE655442:QKU655442 QUA655442:QUQ655442 RDW655442:REM655442 RNS655442:ROI655442 RXO655442:RYE655442 SHK655442:SIA655442 SRG655442:SRW655442 TBC655442:TBS655442 TKY655442:TLO655442 TUU655442:TVK655442 UEQ655442:UFG655442 UOM655442:UPC655442 UYI655442:UYY655442 VIE655442:VIU655442 VSA655442:VSQ655442 WBW655442:WCM655442 WLS655442:WMI655442 WVO655442:WWE655442 G720978:W720978 JC720978:JS720978 SY720978:TO720978 ACU720978:ADK720978 AMQ720978:ANG720978 AWM720978:AXC720978 BGI720978:BGY720978 BQE720978:BQU720978 CAA720978:CAQ720978 CJW720978:CKM720978 CTS720978:CUI720978 DDO720978:DEE720978 DNK720978:DOA720978 DXG720978:DXW720978 EHC720978:EHS720978 EQY720978:ERO720978 FAU720978:FBK720978 FKQ720978:FLG720978 FUM720978:FVC720978 GEI720978:GEY720978 GOE720978:GOU720978 GYA720978:GYQ720978 HHW720978:HIM720978 HRS720978:HSI720978 IBO720978:ICE720978 ILK720978:IMA720978 IVG720978:IVW720978 JFC720978:JFS720978 JOY720978:JPO720978 JYU720978:JZK720978 KIQ720978:KJG720978 KSM720978:KTC720978 LCI720978:LCY720978 LME720978:LMU720978 LWA720978:LWQ720978 MFW720978:MGM720978 MPS720978:MQI720978 MZO720978:NAE720978 NJK720978:NKA720978 NTG720978:NTW720978 ODC720978:ODS720978 OMY720978:ONO720978 OWU720978:OXK720978 PGQ720978:PHG720978 PQM720978:PRC720978 QAI720978:QAY720978 QKE720978:QKU720978 QUA720978:QUQ720978 RDW720978:REM720978 RNS720978:ROI720978 RXO720978:RYE720978 SHK720978:SIA720978 SRG720978:SRW720978 TBC720978:TBS720978 TKY720978:TLO720978 TUU720978:TVK720978 UEQ720978:UFG720978 UOM720978:UPC720978 UYI720978:UYY720978 VIE720978:VIU720978 VSA720978:VSQ720978 WBW720978:WCM720978 WLS720978:WMI720978 WVO720978:WWE720978 G786514:W786514 JC786514:JS786514 SY786514:TO786514 ACU786514:ADK786514 AMQ786514:ANG786514 AWM786514:AXC786514 BGI786514:BGY786514 BQE786514:BQU786514 CAA786514:CAQ786514 CJW786514:CKM786514 CTS786514:CUI786514 DDO786514:DEE786514 DNK786514:DOA786514 DXG786514:DXW786514 EHC786514:EHS786514 EQY786514:ERO786514 FAU786514:FBK786514 FKQ786514:FLG786514 FUM786514:FVC786514 GEI786514:GEY786514 GOE786514:GOU786514 GYA786514:GYQ786514 HHW786514:HIM786514 HRS786514:HSI786514 IBO786514:ICE786514 ILK786514:IMA786514 IVG786514:IVW786514 JFC786514:JFS786514 JOY786514:JPO786514 JYU786514:JZK786514 KIQ786514:KJG786514 KSM786514:KTC786514 LCI786514:LCY786514 LME786514:LMU786514 LWA786514:LWQ786514 MFW786514:MGM786514 MPS786514:MQI786514 MZO786514:NAE786514 NJK786514:NKA786514 NTG786514:NTW786514 ODC786514:ODS786514 OMY786514:ONO786514 OWU786514:OXK786514 PGQ786514:PHG786514 PQM786514:PRC786514 QAI786514:QAY786514 QKE786514:QKU786514 QUA786514:QUQ786514 RDW786514:REM786514 RNS786514:ROI786514 RXO786514:RYE786514 SHK786514:SIA786514 SRG786514:SRW786514 TBC786514:TBS786514 TKY786514:TLO786514 TUU786514:TVK786514 UEQ786514:UFG786514 UOM786514:UPC786514 UYI786514:UYY786514 VIE786514:VIU786514 VSA786514:VSQ786514 WBW786514:WCM786514 WLS786514:WMI786514 WVO786514:WWE786514 G852050:W852050 JC852050:JS852050 SY852050:TO852050 ACU852050:ADK852050 AMQ852050:ANG852050 AWM852050:AXC852050 BGI852050:BGY852050 BQE852050:BQU852050 CAA852050:CAQ852050 CJW852050:CKM852050 CTS852050:CUI852050 DDO852050:DEE852050 DNK852050:DOA852050 DXG852050:DXW852050 EHC852050:EHS852050 EQY852050:ERO852050 FAU852050:FBK852050 FKQ852050:FLG852050 FUM852050:FVC852050 GEI852050:GEY852050 GOE852050:GOU852050 GYA852050:GYQ852050 HHW852050:HIM852050 HRS852050:HSI852050 IBO852050:ICE852050 ILK852050:IMA852050 IVG852050:IVW852050 JFC852050:JFS852050 JOY852050:JPO852050 JYU852050:JZK852050 KIQ852050:KJG852050 KSM852050:KTC852050 LCI852050:LCY852050 LME852050:LMU852050 LWA852050:LWQ852050 MFW852050:MGM852050 MPS852050:MQI852050 MZO852050:NAE852050 NJK852050:NKA852050 NTG852050:NTW852050 ODC852050:ODS852050 OMY852050:ONO852050 OWU852050:OXK852050 PGQ852050:PHG852050 PQM852050:PRC852050 QAI852050:QAY852050 QKE852050:QKU852050 QUA852050:QUQ852050 RDW852050:REM852050 RNS852050:ROI852050 RXO852050:RYE852050 SHK852050:SIA852050 SRG852050:SRW852050 TBC852050:TBS852050 TKY852050:TLO852050 TUU852050:TVK852050 UEQ852050:UFG852050 UOM852050:UPC852050 UYI852050:UYY852050 VIE852050:VIU852050 VSA852050:VSQ852050 WBW852050:WCM852050 WLS852050:WMI852050 WVO852050:WWE852050 G917586:W917586 JC917586:JS917586 SY917586:TO917586 ACU917586:ADK917586 AMQ917586:ANG917586 AWM917586:AXC917586 BGI917586:BGY917586 BQE917586:BQU917586 CAA917586:CAQ917586 CJW917586:CKM917586 CTS917586:CUI917586 DDO917586:DEE917586 DNK917586:DOA917586 DXG917586:DXW917586 EHC917586:EHS917586 EQY917586:ERO917586 FAU917586:FBK917586 FKQ917586:FLG917586 FUM917586:FVC917586 GEI917586:GEY917586 GOE917586:GOU917586 GYA917586:GYQ917586 HHW917586:HIM917586 HRS917586:HSI917586 IBO917586:ICE917586 ILK917586:IMA917586 IVG917586:IVW917586 JFC917586:JFS917586 JOY917586:JPO917586 JYU917586:JZK917586 KIQ917586:KJG917586 KSM917586:KTC917586 LCI917586:LCY917586 LME917586:LMU917586 LWA917586:LWQ917586 MFW917586:MGM917586 MPS917586:MQI917586 MZO917586:NAE917586 NJK917586:NKA917586 NTG917586:NTW917586 ODC917586:ODS917586 OMY917586:ONO917586 OWU917586:OXK917586 PGQ917586:PHG917586 PQM917586:PRC917586 QAI917586:QAY917586 QKE917586:QKU917586 QUA917586:QUQ917586 RDW917586:REM917586 RNS917586:ROI917586 RXO917586:RYE917586 SHK917586:SIA917586 SRG917586:SRW917586 TBC917586:TBS917586 TKY917586:TLO917586 TUU917586:TVK917586 UEQ917586:UFG917586 UOM917586:UPC917586 UYI917586:UYY917586 VIE917586:VIU917586 VSA917586:VSQ917586 WBW917586:WCM917586 WLS917586:WMI917586 WVO917586:WWE917586 G983122:W983122 JC983122:JS983122 SY983122:TO983122 ACU983122:ADK983122 AMQ983122:ANG983122 AWM983122:AXC983122 BGI983122:BGY983122 BQE983122:BQU983122 CAA983122:CAQ983122 CJW983122:CKM983122 CTS983122:CUI983122 DDO983122:DEE983122 DNK983122:DOA983122 DXG983122:DXW983122 EHC983122:EHS983122 EQY983122:ERO983122 FAU983122:FBK983122 FKQ983122:FLG983122 FUM983122:FVC983122 GEI983122:GEY983122 GOE983122:GOU983122 GYA983122:GYQ983122 HHW983122:HIM983122 HRS983122:HSI983122 IBO983122:ICE983122 ILK983122:IMA983122 IVG983122:IVW983122 JFC983122:JFS983122 JOY983122:JPO983122 JYU983122:JZK983122 KIQ983122:KJG983122 KSM983122:KTC983122 LCI983122:LCY983122 LME983122:LMU983122 LWA983122:LWQ983122 MFW983122:MGM983122 MPS983122:MQI983122 MZO983122:NAE983122 NJK983122:NKA983122 NTG983122:NTW983122 ODC983122:ODS983122 OMY983122:ONO983122 OWU983122:OXK983122 PGQ983122:PHG983122 PQM983122:PRC983122 QAI983122:QAY983122 QKE983122:QKU983122 QUA983122:QUQ983122 RDW983122:REM983122 RNS983122:ROI983122 RXO983122:RYE983122 SHK983122:SIA983122 SRG983122:SRW983122 TBC983122:TBS983122 TKY983122:TLO983122 TUU983122:TVK983122 UEQ983122:UFG983122 UOM983122:UPC983122 UYI983122:UYY983122 VIE983122:VIU983122 VSA983122:VSQ983122 WBW983122:WCM983122 WLS983122:WMI983122 WVO983122:WWE983122 H140 JD140 SZ140 ACV140 AMR140 AWN140 BGJ140 BQF140 CAB140 CJX140 CTT140 DDP140 DNL140 DXH140 EHD140 EQZ140 FAV140 FKR140 FUN140 GEJ140 GOF140 GYB140 HHX140 HRT140 IBP140 ILL140 IVH140 JFD140 JOZ140 JYV140 KIR140 KSN140 LCJ140 LMF140 LWB140 MFX140 MPT140 MZP140 NJL140 NTH140 ODD140 OMZ140 OWV140 PGR140 PQN140 QAJ140 QKF140 QUB140 RDX140 RNT140 RXP140 SHL140 SRH140 TBD140 TKZ140 TUV140 UER140 UON140 UYJ140 VIF140 VSB140 WBX140 WLT140 WVP140 H65676 JD65676 SZ65676 ACV65676 AMR65676 AWN65676 BGJ65676 BQF65676 CAB65676 CJX65676 CTT65676 DDP65676 DNL65676 DXH65676 EHD65676 EQZ65676 FAV65676 FKR65676 FUN65676 GEJ65676 GOF65676 GYB65676 HHX65676 HRT65676 IBP65676 ILL65676 IVH65676 JFD65676 JOZ65676 JYV65676 KIR65676 KSN65676 LCJ65676 LMF65676 LWB65676 MFX65676 MPT65676 MZP65676 NJL65676 NTH65676 ODD65676 OMZ65676 OWV65676 PGR65676 PQN65676 QAJ65676 QKF65676 QUB65676 RDX65676 RNT65676 RXP65676 SHL65676 SRH65676 TBD65676 TKZ65676 TUV65676 UER65676 UON65676 UYJ65676 VIF65676 VSB65676 WBX65676 WLT65676 WVP65676 H131212 JD131212 SZ131212 ACV131212 AMR131212 AWN131212 BGJ131212 BQF131212 CAB131212 CJX131212 CTT131212 DDP131212 DNL131212 DXH131212 EHD131212 EQZ131212 FAV131212 FKR131212 FUN131212 GEJ131212 GOF131212 GYB131212 HHX131212 HRT131212 IBP131212 ILL131212 IVH131212 JFD131212 JOZ131212 JYV131212 KIR131212 KSN131212 LCJ131212 LMF131212 LWB131212 MFX131212 MPT131212 MZP131212 NJL131212 NTH131212 ODD131212 OMZ131212 OWV131212 PGR131212 PQN131212 QAJ131212 QKF131212 QUB131212 RDX131212 RNT131212 RXP131212 SHL131212 SRH131212 TBD131212 TKZ131212 TUV131212 UER131212 UON131212 UYJ131212 VIF131212 VSB131212 WBX131212 WLT131212 WVP131212 H196748 JD196748 SZ196748 ACV196748 AMR196748 AWN196748 BGJ196748 BQF196748 CAB196748 CJX196748 CTT196748 DDP196748 DNL196748 DXH196748 EHD196748 EQZ196748 FAV196748 FKR196748 FUN196748 GEJ196748 GOF196748 GYB196748 HHX196748 HRT196748 IBP196748 ILL196748 IVH196748 JFD196748 JOZ196748 JYV196748 KIR196748 KSN196748 LCJ196748 LMF196748 LWB196748 MFX196748 MPT196748 MZP196748 NJL196748 NTH196748 ODD196748 OMZ196748 OWV196748 PGR196748 PQN196748 QAJ196748 QKF196748 QUB196748 RDX196748 RNT196748 RXP196748 SHL196748 SRH196748 TBD196748 TKZ196748 TUV196748 UER196748 UON196748 UYJ196748 VIF196748 VSB196748 WBX196748 WLT196748 WVP196748 H262284 JD262284 SZ262284 ACV262284 AMR262284 AWN262284 BGJ262284 BQF262284 CAB262284 CJX262284 CTT262284 DDP262284 DNL262284 DXH262284 EHD262284 EQZ262284 FAV262284 FKR262284 FUN262284 GEJ262284 GOF262284 GYB262284 HHX262284 HRT262284 IBP262284 ILL262284 IVH262284 JFD262284 JOZ262284 JYV262284 KIR262284 KSN262284 LCJ262284 LMF262284 LWB262284 MFX262284 MPT262284 MZP262284 NJL262284 NTH262284 ODD262284 OMZ262284 OWV262284 PGR262284 PQN262284 QAJ262284 QKF262284 QUB262284 RDX262284 RNT262284 RXP262284 SHL262284 SRH262284 TBD262284 TKZ262284 TUV262284 UER262284 UON262284 UYJ262284 VIF262284 VSB262284 WBX262284 WLT262284 WVP262284 H327820 JD327820 SZ327820 ACV327820 AMR327820 AWN327820 BGJ327820 BQF327820 CAB327820 CJX327820 CTT327820 DDP327820 DNL327820 DXH327820 EHD327820 EQZ327820 FAV327820 FKR327820 FUN327820 GEJ327820 GOF327820 GYB327820 HHX327820 HRT327820 IBP327820 ILL327820 IVH327820 JFD327820 JOZ327820 JYV327820 KIR327820 KSN327820 LCJ327820 LMF327820 LWB327820 MFX327820 MPT327820 MZP327820 NJL327820 NTH327820 ODD327820 OMZ327820 OWV327820 PGR327820 PQN327820 QAJ327820 QKF327820 QUB327820 RDX327820 RNT327820 RXP327820 SHL327820 SRH327820 TBD327820 TKZ327820 TUV327820 UER327820 UON327820 UYJ327820 VIF327820 VSB327820 WBX327820 WLT327820 WVP327820 H393356 JD393356 SZ393356 ACV393356 AMR393356 AWN393356 BGJ393356 BQF393356 CAB393356 CJX393356 CTT393356 DDP393356 DNL393356 DXH393356 EHD393356 EQZ393356 FAV393356 FKR393356 FUN393356 GEJ393356 GOF393356 GYB393356 HHX393356 HRT393356 IBP393356 ILL393356 IVH393356 JFD393356 JOZ393356 JYV393356 KIR393356 KSN393356 LCJ393356 LMF393356 LWB393356 MFX393356 MPT393356 MZP393356 NJL393356 NTH393356 ODD393356 OMZ393356 OWV393356 PGR393356 PQN393356 QAJ393356 QKF393356 QUB393356 RDX393356 RNT393356 RXP393356 SHL393356 SRH393356 TBD393356 TKZ393356 TUV393356 UER393356 UON393356 UYJ393356 VIF393356 VSB393356 WBX393356 WLT393356 WVP393356 H458892 JD458892 SZ458892 ACV458892 AMR458892 AWN458892 BGJ458892 BQF458892 CAB458892 CJX458892 CTT458892 DDP458892 DNL458892 DXH458892 EHD458892 EQZ458892 FAV458892 FKR458892 FUN458892 GEJ458892 GOF458892 GYB458892 HHX458892 HRT458892 IBP458892 ILL458892 IVH458892 JFD458892 JOZ458892 JYV458892 KIR458892 KSN458892 LCJ458892 LMF458892 LWB458892 MFX458892 MPT458892 MZP458892 NJL458892 NTH458892 ODD458892 OMZ458892 OWV458892 PGR458892 PQN458892 QAJ458892 QKF458892 QUB458892 RDX458892 RNT458892 RXP458892 SHL458892 SRH458892 TBD458892 TKZ458892 TUV458892 UER458892 UON458892 UYJ458892 VIF458892 VSB458892 WBX458892 WLT458892 WVP458892 H524428 JD524428 SZ524428 ACV524428 AMR524428 AWN524428 BGJ524428 BQF524428 CAB524428 CJX524428 CTT524428 DDP524428 DNL524428 DXH524428 EHD524428 EQZ524428 FAV524428 FKR524428 FUN524428 GEJ524428 GOF524428 GYB524428 HHX524428 HRT524428 IBP524428 ILL524428 IVH524428 JFD524428 JOZ524428 JYV524428 KIR524428 KSN524428 LCJ524428 LMF524428 LWB524428 MFX524428 MPT524428 MZP524428 NJL524428 NTH524428 ODD524428 OMZ524428 OWV524428 PGR524428 PQN524428 QAJ524428 QKF524428 QUB524428 RDX524428 RNT524428 RXP524428 SHL524428 SRH524428 TBD524428 TKZ524428 TUV524428 UER524428 UON524428 UYJ524428 VIF524428 VSB524428 WBX524428 WLT524428 WVP524428 H589964 JD589964 SZ589964 ACV589964 AMR589964 AWN589964 BGJ589964 BQF589964 CAB589964 CJX589964 CTT589964 DDP589964 DNL589964 DXH589964 EHD589964 EQZ589964 FAV589964 FKR589964 FUN589964 GEJ589964 GOF589964 GYB589964 HHX589964 HRT589964 IBP589964 ILL589964 IVH589964 JFD589964 JOZ589964 JYV589964 KIR589964 KSN589964 LCJ589964 LMF589964 LWB589964 MFX589964 MPT589964 MZP589964 NJL589964 NTH589964 ODD589964 OMZ589964 OWV589964 PGR589964 PQN589964 QAJ589964 QKF589964 QUB589964 RDX589964 RNT589964 RXP589964 SHL589964 SRH589964 TBD589964 TKZ589964 TUV589964 UER589964 UON589964 UYJ589964 VIF589964 VSB589964 WBX589964 WLT589964 WVP589964 H655500 JD655500 SZ655500 ACV655500 AMR655500 AWN655500 BGJ655500 BQF655500 CAB655500 CJX655500 CTT655500 DDP655500 DNL655500 DXH655500 EHD655500 EQZ655500 FAV655500 FKR655500 FUN655500 GEJ655500 GOF655500 GYB655500 HHX655500 HRT655500 IBP655500 ILL655500 IVH655500 JFD655500 JOZ655500 JYV655500 KIR655500 KSN655500 LCJ655500 LMF655500 LWB655500 MFX655500 MPT655500 MZP655500 NJL655500 NTH655500 ODD655500 OMZ655500 OWV655500 PGR655500 PQN655500 QAJ655500 QKF655500 QUB655500 RDX655500 RNT655500 RXP655500 SHL655500 SRH655500 TBD655500 TKZ655500 TUV655500 UER655500 UON655500 UYJ655500 VIF655500 VSB655500 WBX655500 WLT655500 WVP655500 H721036 JD721036 SZ721036 ACV721036 AMR721036 AWN721036 BGJ721036 BQF721036 CAB721036 CJX721036 CTT721036 DDP721036 DNL721036 DXH721036 EHD721036 EQZ721036 FAV721036 FKR721036 FUN721036 GEJ721036 GOF721036 GYB721036 HHX721036 HRT721036 IBP721036 ILL721036 IVH721036 JFD721036 JOZ721036 JYV721036 KIR721036 KSN721036 LCJ721036 LMF721036 LWB721036 MFX721036 MPT721036 MZP721036 NJL721036 NTH721036 ODD721036 OMZ721036 OWV721036 PGR721036 PQN721036 QAJ721036 QKF721036 QUB721036 RDX721036 RNT721036 RXP721036 SHL721036 SRH721036 TBD721036 TKZ721036 TUV721036 UER721036 UON721036 UYJ721036 VIF721036 VSB721036 WBX721036 WLT721036 WVP721036 H786572 JD786572 SZ786572 ACV786572 AMR786572 AWN786572 BGJ786572 BQF786572 CAB786572 CJX786572 CTT786572 DDP786572 DNL786572 DXH786572 EHD786572 EQZ786572 FAV786572 FKR786572 FUN786572 GEJ786572 GOF786572 GYB786572 HHX786572 HRT786572 IBP786572 ILL786572 IVH786572 JFD786572 JOZ786572 JYV786572 KIR786572 KSN786572 LCJ786572 LMF786572 LWB786572 MFX786572 MPT786572 MZP786572 NJL786572 NTH786572 ODD786572 OMZ786572 OWV786572 PGR786572 PQN786572 QAJ786572 QKF786572 QUB786572 RDX786572 RNT786572 RXP786572 SHL786572 SRH786572 TBD786572 TKZ786572 TUV786572 UER786572 UON786572 UYJ786572 VIF786572 VSB786572 WBX786572 WLT786572 WVP786572 H852108 JD852108 SZ852108 ACV852108 AMR852108 AWN852108 BGJ852108 BQF852108 CAB852108 CJX852108 CTT852108 DDP852108 DNL852108 DXH852108 EHD852108 EQZ852108 FAV852108 FKR852108 FUN852108 GEJ852108 GOF852108 GYB852108 HHX852108 HRT852108 IBP852108 ILL852108 IVH852108 JFD852108 JOZ852108 JYV852108 KIR852108 KSN852108 LCJ852108 LMF852108 LWB852108 MFX852108 MPT852108 MZP852108 NJL852108 NTH852108 ODD852108 OMZ852108 OWV852108 PGR852108 PQN852108 QAJ852108 QKF852108 QUB852108 RDX852108 RNT852108 RXP852108 SHL852108 SRH852108 TBD852108 TKZ852108 TUV852108 UER852108 UON852108 UYJ852108 VIF852108 VSB852108 WBX852108 WLT852108 WVP852108 H917644 JD917644 SZ917644 ACV917644 AMR917644 AWN917644 BGJ917644 BQF917644 CAB917644 CJX917644 CTT917644 DDP917644 DNL917644 DXH917644 EHD917644 EQZ917644 FAV917644 FKR917644 FUN917644 GEJ917644 GOF917644 GYB917644 HHX917644 HRT917644 IBP917644 ILL917644 IVH917644 JFD917644 JOZ917644 JYV917644 KIR917644 KSN917644 LCJ917644 LMF917644 LWB917644 MFX917644 MPT917644 MZP917644 NJL917644 NTH917644 ODD917644 OMZ917644 OWV917644 PGR917644 PQN917644 QAJ917644 QKF917644 QUB917644 RDX917644 RNT917644 RXP917644 SHL917644 SRH917644 TBD917644 TKZ917644 TUV917644 UER917644 UON917644 UYJ917644 VIF917644 VSB917644 WBX917644 WLT917644 WVP917644 H983180 JD983180 SZ983180 ACV983180 AMR983180 AWN983180 BGJ983180 BQF983180 CAB983180 CJX983180 CTT983180 DDP983180 DNL983180 DXH983180 EHD983180 EQZ983180 FAV983180 FKR983180 FUN983180 GEJ983180 GOF983180 GYB983180 HHX983180 HRT983180 IBP983180 ILL983180 IVH983180 JFD983180 JOZ983180 JYV983180 KIR983180 KSN983180 LCJ983180 LMF983180 LWB983180 MFX983180 MPT983180 MZP983180 NJL983180 NTH983180 ODD983180 OMZ983180 OWV983180 PGR983180 PQN983180 QAJ983180 QKF983180 QUB983180 RDX983180 RNT983180 RXP983180 SHL983180 SRH983180 TBD983180 TKZ983180 TUV983180 UER983180 UON983180 UYJ983180 VIF983180 VSB983180 WBX983180 WLT983180 WVP983180 D140 IZ140 SV140 ACR140 AMN140 AWJ140 BGF140 BQB140 BZX140 CJT140 CTP140 DDL140 DNH140 DXD140 EGZ140 EQV140 FAR140 FKN140 FUJ140 GEF140 GOB140 GXX140 HHT140 HRP140 IBL140 ILH140 IVD140 JEZ140 JOV140 JYR140 KIN140 KSJ140 LCF140 LMB140 LVX140 MFT140 MPP140 MZL140 NJH140 NTD140 OCZ140 OMV140 OWR140 PGN140 PQJ140 QAF140 QKB140 QTX140 RDT140 RNP140 RXL140 SHH140 SRD140 TAZ140 TKV140 TUR140 UEN140 UOJ140 UYF140 VIB140 VRX140 WBT140 WLP140 WVL140 D65676 IZ65676 SV65676 ACR65676 AMN65676 AWJ65676 BGF65676 BQB65676 BZX65676 CJT65676 CTP65676 DDL65676 DNH65676 DXD65676 EGZ65676 EQV65676 FAR65676 FKN65676 FUJ65676 GEF65676 GOB65676 GXX65676 HHT65676 HRP65676 IBL65676 ILH65676 IVD65676 JEZ65676 JOV65676 JYR65676 KIN65676 KSJ65676 LCF65676 LMB65676 LVX65676 MFT65676 MPP65676 MZL65676 NJH65676 NTD65676 OCZ65676 OMV65676 OWR65676 PGN65676 PQJ65676 QAF65676 QKB65676 QTX65676 RDT65676 RNP65676 RXL65676 SHH65676 SRD65676 TAZ65676 TKV65676 TUR65676 UEN65676 UOJ65676 UYF65676 VIB65676 VRX65676 WBT65676 WLP65676 WVL65676 D131212 IZ131212 SV131212 ACR131212 AMN131212 AWJ131212 BGF131212 BQB131212 BZX131212 CJT131212 CTP131212 DDL131212 DNH131212 DXD131212 EGZ131212 EQV131212 FAR131212 FKN131212 FUJ131212 GEF131212 GOB131212 GXX131212 HHT131212 HRP131212 IBL131212 ILH131212 IVD131212 JEZ131212 JOV131212 JYR131212 KIN131212 KSJ131212 LCF131212 LMB131212 LVX131212 MFT131212 MPP131212 MZL131212 NJH131212 NTD131212 OCZ131212 OMV131212 OWR131212 PGN131212 PQJ131212 QAF131212 QKB131212 QTX131212 RDT131212 RNP131212 RXL131212 SHH131212 SRD131212 TAZ131212 TKV131212 TUR131212 UEN131212 UOJ131212 UYF131212 VIB131212 VRX131212 WBT131212 WLP131212 WVL131212 D196748 IZ196748 SV196748 ACR196748 AMN196748 AWJ196748 BGF196748 BQB196748 BZX196748 CJT196748 CTP196748 DDL196748 DNH196748 DXD196748 EGZ196748 EQV196748 FAR196748 FKN196748 FUJ196748 GEF196748 GOB196748 GXX196748 HHT196748 HRP196748 IBL196748 ILH196748 IVD196748 JEZ196748 JOV196748 JYR196748 KIN196748 KSJ196748 LCF196748 LMB196748 LVX196748 MFT196748 MPP196748 MZL196748 NJH196748 NTD196748 OCZ196748 OMV196748 OWR196748 PGN196748 PQJ196748 QAF196748 QKB196748 QTX196748 RDT196748 RNP196748 RXL196748 SHH196748 SRD196748 TAZ196748 TKV196748 TUR196748 UEN196748 UOJ196748 UYF196748 VIB196748 VRX196748 WBT196748 WLP196748 WVL196748 D262284 IZ262284 SV262284 ACR262284 AMN262284 AWJ262284 BGF262284 BQB262284 BZX262284 CJT262284 CTP262284 DDL262284 DNH262284 DXD262284 EGZ262284 EQV262284 FAR262284 FKN262284 FUJ262284 GEF262284 GOB262284 GXX262284 HHT262284 HRP262284 IBL262284 ILH262284 IVD262284 JEZ262284 JOV262284 JYR262284 KIN262284 KSJ262284 LCF262284 LMB262284 LVX262284 MFT262284 MPP262284 MZL262284 NJH262284 NTD262284 OCZ262284 OMV262284 OWR262284 PGN262284 PQJ262284 QAF262284 QKB262284 QTX262284 RDT262284 RNP262284 RXL262284 SHH262284 SRD262284 TAZ262284 TKV262284 TUR262284 UEN262284 UOJ262284 UYF262284 VIB262284 VRX262284 WBT262284 WLP262284 WVL262284 D327820 IZ327820 SV327820 ACR327820 AMN327820 AWJ327820 BGF327820 BQB327820 BZX327820 CJT327820 CTP327820 DDL327820 DNH327820 DXD327820 EGZ327820 EQV327820 FAR327820 FKN327820 FUJ327820 GEF327820 GOB327820 GXX327820 HHT327820 HRP327820 IBL327820 ILH327820 IVD327820 JEZ327820 JOV327820 JYR327820 KIN327820 KSJ327820 LCF327820 LMB327820 LVX327820 MFT327820 MPP327820 MZL327820 NJH327820 NTD327820 OCZ327820 OMV327820 OWR327820 PGN327820 PQJ327820 QAF327820 QKB327820 QTX327820 RDT327820 RNP327820 RXL327820 SHH327820 SRD327820 TAZ327820 TKV327820 TUR327820 UEN327820 UOJ327820 UYF327820 VIB327820 VRX327820 WBT327820 WLP327820 WVL327820 D393356 IZ393356 SV393356 ACR393356 AMN393356 AWJ393356 BGF393356 BQB393356 BZX393356 CJT393356 CTP393356 DDL393356 DNH393356 DXD393356 EGZ393356 EQV393356 FAR393356 FKN393356 FUJ393356 GEF393356 GOB393356 GXX393356 HHT393356 HRP393356 IBL393356 ILH393356 IVD393356 JEZ393356 JOV393356 JYR393356 KIN393356 KSJ393356 LCF393356 LMB393356 LVX393356 MFT393356 MPP393356 MZL393356 NJH393356 NTD393356 OCZ393356 OMV393356 OWR393356 PGN393356 PQJ393356 QAF393356 QKB393356 QTX393356 RDT393356 RNP393356 RXL393356 SHH393356 SRD393356 TAZ393356 TKV393356 TUR393356 UEN393356 UOJ393356 UYF393356 VIB393356 VRX393356 WBT393356 WLP393356 WVL393356 D458892 IZ458892 SV458892 ACR458892 AMN458892 AWJ458892 BGF458892 BQB458892 BZX458892 CJT458892 CTP458892 DDL458892 DNH458892 DXD458892 EGZ458892 EQV458892 FAR458892 FKN458892 FUJ458892 GEF458892 GOB458892 GXX458892 HHT458892 HRP458892 IBL458892 ILH458892 IVD458892 JEZ458892 JOV458892 JYR458892 KIN458892 KSJ458892 LCF458892 LMB458892 LVX458892 MFT458892 MPP458892 MZL458892 NJH458892 NTD458892 OCZ458892 OMV458892 OWR458892 PGN458892 PQJ458892 QAF458892 QKB458892 QTX458892 RDT458892 RNP458892 RXL458892 SHH458892 SRD458892 TAZ458892 TKV458892 TUR458892 UEN458892 UOJ458892 UYF458892 VIB458892 VRX458892 WBT458892 WLP458892 WVL458892 D524428 IZ524428 SV524428 ACR524428 AMN524428 AWJ524428 BGF524428 BQB524428 BZX524428 CJT524428 CTP524428 DDL524428 DNH524428 DXD524428 EGZ524428 EQV524428 FAR524428 FKN524428 FUJ524428 GEF524428 GOB524428 GXX524428 HHT524428 HRP524428 IBL524428 ILH524428 IVD524428 JEZ524428 JOV524428 JYR524428 KIN524428 KSJ524428 LCF524428 LMB524428 LVX524428 MFT524428 MPP524428 MZL524428 NJH524428 NTD524428 OCZ524428 OMV524428 OWR524428 PGN524428 PQJ524428 QAF524428 QKB524428 QTX524428 RDT524428 RNP524428 RXL524428 SHH524428 SRD524428 TAZ524428 TKV524428 TUR524428 UEN524428 UOJ524428 UYF524428 VIB524428 VRX524428 WBT524428 WLP524428 WVL524428 D589964 IZ589964 SV589964 ACR589964 AMN589964 AWJ589964 BGF589964 BQB589964 BZX589964 CJT589964 CTP589964 DDL589964 DNH589964 DXD589964 EGZ589964 EQV589964 FAR589964 FKN589964 FUJ589964 GEF589964 GOB589964 GXX589964 HHT589964 HRP589964 IBL589964 ILH589964 IVD589964 JEZ589964 JOV589964 JYR589964 KIN589964 KSJ589964 LCF589964 LMB589964 LVX589964 MFT589964 MPP589964 MZL589964 NJH589964 NTD589964 OCZ589964 OMV589964 OWR589964 PGN589964 PQJ589964 QAF589964 QKB589964 QTX589964 RDT589964 RNP589964 RXL589964 SHH589964 SRD589964 TAZ589964 TKV589964 TUR589964 UEN589964 UOJ589964 UYF589964 VIB589964 VRX589964 WBT589964 WLP589964 WVL589964 D655500 IZ655500 SV655500 ACR655500 AMN655500 AWJ655500 BGF655500 BQB655500 BZX655500 CJT655500 CTP655500 DDL655500 DNH655500 DXD655500 EGZ655500 EQV655500 FAR655500 FKN655500 FUJ655500 GEF655500 GOB655500 GXX655500 HHT655500 HRP655500 IBL655500 ILH655500 IVD655500 JEZ655500 JOV655500 JYR655500 KIN655500 KSJ655500 LCF655500 LMB655500 LVX655500 MFT655500 MPP655500 MZL655500 NJH655500 NTD655500 OCZ655500 OMV655500 OWR655500 PGN655500 PQJ655500 QAF655500 QKB655500 QTX655500 RDT655500 RNP655500 RXL655500 SHH655500 SRD655500 TAZ655500 TKV655500 TUR655500 UEN655500 UOJ655500 UYF655500 VIB655500 VRX655500 WBT655500 WLP655500 WVL655500 D721036 IZ721036 SV721036 ACR721036 AMN721036 AWJ721036 BGF721036 BQB721036 BZX721036 CJT721036 CTP721036 DDL721036 DNH721036 DXD721036 EGZ721036 EQV721036 FAR721036 FKN721036 FUJ721036 GEF721036 GOB721036 GXX721036 HHT721036 HRP721036 IBL721036 ILH721036 IVD721036 JEZ721036 JOV721036 JYR721036 KIN721036 KSJ721036 LCF721036 LMB721036 LVX721036 MFT721036 MPP721036 MZL721036 NJH721036 NTD721036 OCZ721036 OMV721036 OWR721036 PGN721036 PQJ721036 QAF721036 QKB721036 QTX721036 RDT721036 RNP721036 RXL721036 SHH721036 SRD721036 TAZ721036 TKV721036 TUR721036 UEN721036 UOJ721036 UYF721036 VIB721036 VRX721036 WBT721036 WLP721036 WVL721036 D786572 IZ786572 SV786572 ACR786572 AMN786572 AWJ786572 BGF786572 BQB786572 BZX786572 CJT786572 CTP786572 DDL786572 DNH786572 DXD786572 EGZ786572 EQV786572 FAR786572 FKN786572 FUJ786572 GEF786572 GOB786572 GXX786572 HHT786572 HRP786572 IBL786572 ILH786572 IVD786572 JEZ786572 JOV786572 JYR786572 KIN786572 KSJ786572 LCF786572 LMB786572 LVX786572 MFT786572 MPP786572 MZL786572 NJH786572 NTD786572 OCZ786572 OMV786572 OWR786572 PGN786572 PQJ786572 QAF786572 QKB786572 QTX786572 RDT786572 RNP786572 RXL786572 SHH786572 SRD786572 TAZ786572 TKV786572 TUR786572 UEN786572 UOJ786572 UYF786572 VIB786572 VRX786572 WBT786572 WLP786572 WVL786572 D852108 IZ852108 SV852108 ACR852108 AMN852108 AWJ852108 BGF852108 BQB852108 BZX852108 CJT852108 CTP852108 DDL852108 DNH852108 DXD852108 EGZ852108 EQV852108 FAR852108 FKN852108 FUJ852108 GEF852108 GOB852108 GXX852108 HHT852108 HRP852108 IBL852108 ILH852108 IVD852108 JEZ852108 JOV852108 JYR852108 KIN852108 KSJ852108 LCF852108 LMB852108 LVX852108 MFT852108 MPP852108 MZL852108 NJH852108 NTD852108 OCZ852108 OMV852108 OWR852108 PGN852108 PQJ852108 QAF852108 QKB852108 QTX852108 RDT852108 RNP852108 RXL852108 SHH852108 SRD852108 TAZ852108 TKV852108 TUR852108 UEN852108 UOJ852108 UYF852108 VIB852108 VRX852108 WBT852108 WLP852108 WVL852108 D917644 IZ917644 SV917644 ACR917644 AMN917644 AWJ917644 BGF917644 BQB917644 BZX917644 CJT917644 CTP917644 DDL917644 DNH917644 DXD917644 EGZ917644 EQV917644 FAR917644 FKN917644 FUJ917644 GEF917644 GOB917644 GXX917644 HHT917644 HRP917644 IBL917644 ILH917644 IVD917644 JEZ917644 JOV917644 JYR917644 KIN917644 KSJ917644 LCF917644 LMB917644 LVX917644 MFT917644 MPP917644 MZL917644 NJH917644 NTD917644 OCZ917644 OMV917644 OWR917644 PGN917644 PQJ917644 QAF917644 QKB917644 QTX917644 RDT917644 RNP917644 RXL917644 SHH917644 SRD917644 TAZ917644 TKV917644 TUR917644 UEN917644 UOJ917644 UYF917644 VIB917644 VRX917644 WBT917644 WLP917644 WVL917644 D983180 IZ983180 SV983180 ACR983180 AMN983180 AWJ983180 BGF983180 BQB983180 BZX983180 CJT983180 CTP983180 DDL983180 DNH983180 DXD983180 EGZ983180 EQV983180 FAR983180 FKN983180 FUJ983180 GEF983180 GOB983180 GXX983180 HHT983180 HRP983180 IBL983180 ILH983180 IVD983180 JEZ983180 JOV983180 JYR983180 KIN983180 KSJ983180 LCF983180 LMB983180 LVX983180 MFT983180 MPP983180 MZL983180 NJH983180 NTD983180 OCZ983180 OMV983180 OWR983180 PGN983180 PQJ983180 QAF983180 QKB983180 QTX983180 RDT983180 RNP983180 RXL983180 SHH983180 SRD983180 TAZ983180 TKV983180 TUR983180 UEN983180 UOJ983180 UYF983180 VIB983180 VRX983180 WBT983180 WLP983180 WVL983180 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Q13:W13 JM13:JS13 TI13:TO13 ADE13:ADK13 ANA13:ANG13 AWW13:AXC13 BGS13:BGY13 BQO13:BQU13 CAK13:CAQ13 CKG13:CKM13 CUC13:CUI13 DDY13:DEE13 DNU13:DOA13 DXQ13:DXW13 EHM13:EHS13 ERI13:ERO13 FBE13:FBK13 FLA13:FLG13 FUW13:FVC13 GES13:GEY13 GOO13:GOU13 GYK13:GYQ13 HIG13:HIM13 HSC13:HSI13 IBY13:ICE13 ILU13:IMA13 IVQ13:IVW13 JFM13:JFS13 JPI13:JPO13 JZE13:JZK13 KJA13:KJG13 KSW13:KTC13 LCS13:LCY13 LMO13:LMU13 LWK13:LWQ13 MGG13:MGM13 MQC13:MQI13 MZY13:NAE13 NJU13:NKA13 NTQ13:NTW13 ODM13:ODS13 ONI13:ONO13 OXE13:OXK13 PHA13:PHG13 PQW13:PRC13 QAS13:QAY13 QKO13:QKU13 QUK13:QUQ13 REG13:REM13 ROC13:ROI13 RXY13:RYE13 SHU13:SIA13 SRQ13:SRW13 TBM13:TBS13 TLI13:TLO13 TVE13:TVK13 UFA13:UFG13 UOW13:UPC13 UYS13:UYY13 VIO13:VIU13 VSK13:VSQ13 WCG13:WCM13 WMC13:WMI13 WVY13:WWE13 Q65549:W65549 JM65549:JS65549 TI65549:TO65549 ADE65549:ADK65549 ANA65549:ANG65549 AWW65549:AXC65549 BGS65549:BGY65549 BQO65549:BQU65549 CAK65549:CAQ65549 CKG65549:CKM65549 CUC65549:CUI65549 DDY65549:DEE65549 DNU65549:DOA65549 DXQ65549:DXW65549 EHM65549:EHS65549 ERI65549:ERO65549 FBE65549:FBK65549 FLA65549:FLG65549 FUW65549:FVC65549 GES65549:GEY65549 GOO65549:GOU65549 GYK65549:GYQ65549 HIG65549:HIM65549 HSC65549:HSI65549 IBY65549:ICE65549 ILU65549:IMA65549 IVQ65549:IVW65549 JFM65549:JFS65549 JPI65549:JPO65549 JZE65549:JZK65549 KJA65549:KJG65549 KSW65549:KTC65549 LCS65549:LCY65549 LMO65549:LMU65549 LWK65549:LWQ65549 MGG65549:MGM65549 MQC65549:MQI65549 MZY65549:NAE65549 NJU65549:NKA65549 NTQ65549:NTW65549 ODM65549:ODS65549 ONI65549:ONO65549 OXE65549:OXK65549 PHA65549:PHG65549 PQW65549:PRC65549 QAS65549:QAY65549 QKO65549:QKU65549 QUK65549:QUQ65549 REG65549:REM65549 ROC65549:ROI65549 RXY65549:RYE65549 SHU65549:SIA65549 SRQ65549:SRW65549 TBM65549:TBS65549 TLI65549:TLO65549 TVE65549:TVK65549 UFA65549:UFG65549 UOW65549:UPC65549 UYS65549:UYY65549 VIO65549:VIU65549 VSK65549:VSQ65549 WCG65549:WCM65549 WMC65549:WMI65549 WVY65549:WWE65549 Q131085:W131085 JM131085:JS131085 TI131085:TO131085 ADE131085:ADK131085 ANA131085:ANG131085 AWW131085:AXC131085 BGS131085:BGY131085 BQO131085:BQU131085 CAK131085:CAQ131085 CKG131085:CKM131085 CUC131085:CUI131085 DDY131085:DEE131085 DNU131085:DOA131085 DXQ131085:DXW131085 EHM131085:EHS131085 ERI131085:ERO131085 FBE131085:FBK131085 FLA131085:FLG131085 FUW131085:FVC131085 GES131085:GEY131085 GOO131085:GOU131085 GYK131085:GYQ131085 HIG131085:HIM131085 HSC131085:HSI131085 IBY131085:ICE131085 ILU131085:IMA131085 IVQ131085:IVW131085 JFM131085:JFS131085 JPI131085:JPO131085 JZE131085:JZK131085 KJA131085:KJG131085 KSW131085:KTC131085 LCS131085:LCY131085 LMO131085:LMU131085 LWK131085:LWQ131085 MGG131085:MGM131085 MQC131085:MQI131085 MZY131085:NAE131085 NJU131085:NKA131085 NTQ131085:NTW131085 ODM131085:ODS131085 ONI131085:ONO131085 OXE131085:OXK131085 PHA131085:PHG131085 PQW131085:PRC131085 QAS131085:QAY131085 QKO131085:QKU131085 QUK131085:QUQ131085 REG131085:REM131085 ROC131085:ROI131085 RXY131085:RYE131085 SHU131085:SIA131085 SRQ131085:SRW131085 TBM131085:TBS131085 TLI131085:TLO131085 TVE131085:TVK131085 UFA131085:UFG131085 UOW131085:UPC131085 UYS131085:UYY131085 VIO131085:VIU131085 VSK131085:VSQ131085 WCG131085:WCM131085 WMC131085:WMI131085 WVY131085:WWE131085 Q196621:W196621 JM196621:JS196621 TI196621:TO196621 ADE196621:ADK196621 ANA196621:ANG196621 AWW196621:AXC196621 BGS196621:BGY196621 BQO196621:BQU196621 CAK196621:CAQ196621 CKG196621:CKM196621 CUC196621:CUI196621 DDY196621:DEE196621 DNU196621:DOA196621 DXQ196621:DXW196621 EHM196621:EHS196621 ERI196621:ERO196621 FBE196621:FBK196621 FLA196621:FLG196621 FUW196621:FVC196621 GES196621:GEY196621 GOO196621:GOU196621 GYK196621:GYQ196621 HIG196621:HIM196621 HSC196621:HSI196621 IBY196621:ICE196621 ILU196621:IMA196621 IVQ196621:IVW196621 JFM196621:JFS196621 JPI196621:JPO196621 JZE196621:JZK196621 KJA196621:KJG196621 KSW196621:KTC196621 LCS196621:LCY196621 LMO196621:LMU196621 LWK196621:LWQ196621 MGG196621:MGM196621 MQC196621:MQI196621 MZY196621:NAE196621 NJU196621:NKA196621 NTQ196621:NTW196621 ODM196621:ODS196621 ONI196621:ONO196621 OXE196621:OXK196621 PHA196621:PHG196621 PQW196621:PRC196621 QAS196621:QAY196621 QKO196621:QKU196621 QUK196621:QUQ196621 REG196621:REM196621 ROC196621:ROI196621 RXY196621:RYE196621 SHU196621:SIA196621 SRQ196621:SRW196621 TBM196621:TBS196621 TLI196621:TLO196621 TVE196621:TVK196621 UFA196621:UFG196621 UOW196621:UPC196621 UYS196621:UYY196621 VIO196621:VIU196621 VSK196621:VSQ196621 WCG196621:WCM196621 WMC196621:WMI196621 WVY196621:WWE196621 Q262157:W262157 JM262157:JS262157 TI262157:TO262157 ADE262157:ADK262157 ANA262157:ANG262157 AWW262157:AXC262157 BGS262157:BGY262157 BQO262157:BQU262157 CAK262157:CAQ262157 CKG262157:CKM262157 CUC262157:CUI262157 DDY262157:DEE262157 DNU262157:DOA262157 DXQ262157:DXW262157 EHM262157:EHS262157 ERI262157:ERO262157 FBE262157:FBK262157 FLA262157:FLG262157 FUW262157:FVC262157 GES262157:GEY262157 GOO262157:GOU262157 GYK262157:GYQ262157 HIG262157:HIM262157 HSC262157:HSI262157 IBY262157:ICE262157 ILU262157:IMA262157 IVQ262157:IVW262157 JFM262157:JFS262157 JPI262157:JPO262157 JZE262157:JZK262157 KJA262157:KJG262157 KSW262157:KTC262157 LCS262157:LCY262157 LMO262157:LMU262157 LWK262157:LWQ262157 MGG262157:MGM262157 MQC262157:MQI262157 MZY262157:NAE262157 NJU262157:NKA262157 NTQ262157:NTW262157 ODM262157:ODS262157 ONI262157:ONO262157 OXE262157:OXK262157 PHA262157:PHG262157 PQW262157:PRC262157 QAS262157:QAY262157 QKO262157:QKU262157 QUK262157:QUQ262157 REG262157:REM262157 ROC262157:ROI262157 RXY262157:RYE262157 SHU262157:SIA262157 SRQ262157:SRW262157 TBM262157:TBS262157 TLI262157:TLO262157 TVE262157:TVK262157 UFA262157:UFG262157 UOW262157:UPC262157 UYS262157:UYY262157 VIO262157:VIU262157 VSK262157:VSQ262157 WCG262157:WCM262157 WMC262157:WMI262157 WVY262157:WWE262157 Q327693:W327693 JM327693:JS327693 TI327693:TO327693 ADE327693:ADK327693 ANA327693:ANG327693 AWW327693:AXC327693 BGS327693:BGY327693 BQO327693:BQU327693 CAK327693:CAQ327693 CKG327693:CKM327693 CUC327693:CUI327693 DDY327693:DEE327693 DNU327693:DOA327693 DXQ327693:DXW327693 EHM327693:EHS327693 ERI327693:ERO327693 FBE327693:FBK327693 FLA327693:FLG327693 FUW327693:FVC327693 GES327693:GEY327693 GOO327693:GOU327693 GYK327693:GYQ327693 HIG327693:HIM327693 HSC327693:HSI327693 IBY327693:ICE327693 ILU327693:IMA327693 IVQ327693:IVW327693 JFM327693:JFS327693 JPI327693:JPO327693 JZE327693:JZK327693 KJA327693:KJG327693 KSW327693:KTC327693 LCS327693:LCY327693 LMO327693:LMU327693 LWK327693:LWQ327693 MGG327693:MGM327693 MQC327693:MQI327693 MZY327693:NAE327693 NJU327693:NKA327693 NTQ327693:NTW327693 ODM327693:ODS327693 ONI327693:ONO327693 OXE327693:OXK327693 PHA327693:PHG327693 PQW327693:PRC327693 QAS327693:QAY327693 QKO327693:QKU327693 QUK327693:QUQ327693 REG327693:REM327693 ROC327693:ROI327693 RXY327693:RYE327693 SHU327693:SIA327693 SRQ327693:SRW327693 TBM327693:TBS327693 TLI327693:TLO327693 TVE327693:TVK327693 UFA327693:UFG327693 UOW327693:UPC327693 UYS327693:UYY327693 VIO327693:VIU327693 VSK327693:VSQ327693 WCG327693:WCM327693 WMC327693:WMI327693 WVY327693:WWE327693 Q393229:W393229 JM393229:JS393229 TI393229:TO393229 ADE393229:ADK393229 ANA393229:ANG393229 AWW393229:AXC393229 BGS393229:BGY393229 BQO393229:BQU393229 CAK393229:CAQ393229 CKG393229:CKM393229 CUC393229:CUI393229 DDY393229:DEE393229 DNU393229:DOA393229 DXQ393229:DXW393229 EHM393229:EHS393229 ERI393229:ERO393229 FBE393229:FBK393229 FLA393229:FLG393229 FUW393229:FVC393229 GES393229:GEY393229 GOO393229:GOU393229 GYK393229:GYQ393229 HIG393229:HIM393229 HSC393229:HSI393229 IBY393229:ICE393229 ILU393229:IMA393229 IVQ393229:IVW393229 JFM393229:JFS393229 JPI393229:JPO393229 JZE393229:JZK393229 KJA393229:KJG393229 KSW393229:KTC393229 LCS393229:LCY393229 LMO393229:LMU393229 LWK393229:LWQ393229 MGG393229:MGM393229 MQC393229:MQI393229 MZY393229:NAE393229 NJU393229:NKA393229 NTQ393229:NTW393229 ODM393229:ODS393229 ONI393229:ONO393229 OXE393229:OXK393229 PHA393229:PHG393229 PQW393229:PRC393229 QAS393229:QAY393229 QKO393229:QKU393229 QUK393229:QUQ393229 REG393229:REM393229 ROC393229:ROI393229 RXY393229:RYE393229 SHU393229:SIA393229 SRQ393229:SRW393229 TBM393229:TBS393229 TLI393229:TLO393229 TVE393229:TVK393229 UFA393229:UFG393229 UOW393229:UPC393229 UYS393229:UYY393229 VIO393229:VIU393229 VSK393229:VSQ393229 WCG393229:WCM393229 WMC393229:WMI393229 WVY393229:WWE393229 Q458765:W458765 JM458765:JS458765 TI458765:TO458765 ADE458765:ADK458765 ANA458765:ANG458765 AWW458765:AXC458765 BGS458765:BGY458765 BQO458765:BQU458765 CAK458765:CAQ458765 CKG458765:CKM458765 CUC458765:CUI458765 DDY458765:DEE458765 DNU458765:DOA458765 DXQ458765:DXW458765 EHM458765:EHS458765 ERI458765:ERO458765 FBE458765:FBK458765 FLA458765:FLG458765 FUW458765:FVC458765 GES458765:GEY458765 GOO458765:GOU458765 GYK458765:GYQ458765 HIG458765:HIM458765 HSC458765:HSI458765 IBY458765:ICE458765 ILU458765:IMA458765 IVQ458765:IVW458765 JFM458765:JFS458765 JPI458765:JPO458765 JZE458765:JZK458765 KJA458765:KJG458765 KSW458765:KTC458765 LCS458765:LCY458765 LMO458765:LMU458765 LWK458765:LWQ458765 MGG458765:MGM458765 MQC458765:MQI458765 MZY458765:NAE458765 NJU458765:NKA458765 NTQ458765:NTW458765 ODM458765:ODS458765 ONI458765:ONO458765 OXE458765:OXK458765 PHA458765:PHG458765 PQW458765:PRC458765 QAS458765:QAY458765 QKO458765:QKU458765 QUK458765:QUQ458765 REG458765:REM458765 ROC458765:ROI458765 RXY458765:RYE458765 SHU458765:SIA458765 SRQ458765:SRW458765 TBM458765:TBS458765 TLI458765:TLO458765 TVE458765:TVK458765 UFA458765:UFG458765 UOW458765:UPC458765 UYS458765:UYY458765 VIO458765:VIU458765 VSK458765:VSQ458765 WCG458765:WCM458765 WMC458765:WMI458765 WVY458765:WWE458765 Q524301:W524301 JM524301:JS524301 TI524301:TO524301 ADE524301:ADK524301 ANA524301:ANG524301 AWW524301:AXC524301 BGS524301:BGY524301 BQO524301:BQU524301 CAK524301:CAQ524301 CKG524301:CKM524301 CUC524301:CUI524301 DDY524301:DEE524301 DNU524301:DOA524301 DXQ524301:DXW524301 EHM524301:EHS524301 ERI524301:ERO524301 FBE524301:FBK524301 FLA524301:FLG524301 FUW524301:FVC524301 GES524301:GEY524301 GOO524301:GOU524301 GYK524301:GYQ524301 HIG524301:HIM524301 HSC524301:HSI524301 IBY524301:ICE524301 ILU524301:IMA524301 IVQ524301:IVW524301 JFM524301:JFS524301 JPI524301:JPO524301 JZE524301:JZK524301 KJA524301:KJG524301 KSW524301:KTC524301 LCS524301:LCY524301 LMO524301:LMU524301 LWK524301:LWQ524301 MGG524301:MGM524301 MQC524301:MQI524301 MZY524301:NAE524301 NJU524301:NKA524301 NTQ524301:NTW524301 ODM524301:ODS524301 ONI524301:ONO524301 OXE524301:OXK524301 PHA524301:PHG524301 PQW524301:PRC524301 QAS524301:QAY524301 QKO524301:QKU524301 QUK524301:QUQ524301 REG524301:REM524301 ROC524301:ROI524301 RXY524301:RYE524301 SHU524301:SIA524301 SRQ524301:SRW524301 TBM524301:TBS524301 TLI524301:TLO524301 TVE524301:TVK524301 UFA524301:UFG524301 UOW524301:UPC524301 UYS524301:UYY524301 VIO524301:VIU524301 VSK524301:VSQ524301 WCG524301:WCM524301 WMC524301:WMI524301 WVY524301:WWE524301 Q589837:W589837 JM589837:JS589837 TI589837:TO589837 ADE589837:ADK589837 ANA589837:ANG589837 AWW589837:AXC589837 BGS589837:BGY589837 BQO589837:BQU589837 CAK589837:CAQ589837 CKG589837:CKM589837 CUC589837:CUI589837 DDY589837:DEE589837 DNU589837:DOA589837 DXQ589837:DXW589837 EHM589837:EHS589837 ERI589837:ERO589837 FBE589837:FBK589837 FLA589837:FLG589837 FUW589837:FVC589837 GES589837:GEY589837 GOO589837:GOU589837 GYK589837:GYQ589837 HIG589837:HIM589837 HSC589837:HSI589837 IBY589837:ICE589837 ILU589837:IMA589837 IVQ589837:IVW589837 JFM589837:JFS589837 JPI589837:JPO589837 JZE589837:JZK589837 KJA589837:KJG589837 KSW589837:KTC589837 LCS589837:LCY589837 LMO589837:LMU589837 LWK589837:LWQ589837 MGG589837:MGM589837 MQC589837:MQI589837 MZY589837:NAE589837 NJU589837:NKA589837 NTQ589837:NTW589837 ODM589837:ODS589837 ONI589837:ONO589837 OXE589837:OXK589837 PHA589837:PHG589837 PQW589837:PRC589837 QAS589837:QAY589837 QKO589837:QKU589837 QUK589837:QUQ589837 REG589837:REM589837 ROC589837:ROI589837 RXY589837:RYE589837 SHU589837:SIA589837 SRQ589837:SRW589837 TBM589837:TBS589837 TLI589837:TLO589837 TVE589837:TVK589837 UFA589837:UFG589837 UOW589837:UPC589837 UYS589837:UYY589837 VIO589837:VIU589837 VSK589837:VSQ589837 WCG589837:WCM589837 WMC589837:WMI589837 WVY589837:WWE589837 Q655373:W655373 JM655373:JS655373 TI655373:TO655373 ADE655373:ADK655373 ANA655373:ANG655373 AWW655373:AXC655373 BGS655373:BGY655373 BQO655373:BQU655373 CAK655373:CAQ655373 CKG655373:CKM655373 CUC655373:CUI655373 DDY655373:DEE655373 DNU655373:DOA655373 DXQ655373:DXW655373 EHM655373:EHS655373 ERI655373:ERO655373 FBE655373:FBK655373 FLA655373:FLG655373 FUW655373:FVC655373 GES655373:GEY655373 GOO655373:GOU655373 GYK655373:GYQ655373 HIG655373:HIM655373 HSC655373:HSI655373 IBY655373:ICE655373 ILU655373:IMA655373 IVQ655373:IVW655373 JFM655373:JFS655373 JPI655373:JPO655373 JZE655373:JZK655373 KJA655373:KJG655373 KSW655373:KTC655373 LCS655373:LCY655373 LMO655373:LMU655373 LWK655373:LWQ655373 MGG655373:MGM655373 MQC655373:MQI655373 MZY655373:NAE655373 NJU655373:NKA655373 NTQ655373:NTW655373 ODM655373:ODS655373 ONI655373:ONO655373 OXE655373:OXK655373 PHA655373:PHG655373 PQW655373:PRC655373 QAS655373:QAY655373 QKO655373:QKU655373 QUK655373:QUQ655373 REG655373:REM655373 ROC655373:ROI655373 RXY655373:RYE655373 SHU655373:SIA655373 SRQ655373:SRW655373 TBM655373:TBS655373 TLI655373:TLO655373 TVE655373:TVK655373 UFA655373:UFG655373 UOW655373:UPC655373 UYS655373:UYY655373 VIO655373:VIU655373 VSK655373:VSQ655373 WCG655373:WCM655373 WMC655373:WMI655373 WVY655373:WWE655373 Q720909:W720909 JM720909:JS720909 TI720909:TO720909 ADE720909:ADK720909 ANA720909:ANG720909 AWW720909:AXC720909 BGS720909:BGY720909 BQO720909:BQU720909 CAK720909:CAQ720909 CKG720909:CKM720909 CUC720909:CUI720909 DDY720909:DEE720909 DNU720909:DOA720909 DXQ720909:DXW720909 EHM720909:EHS720909 ERI720909:ERO720909 FBE720909:FBK720909 FLA720909:FLG720909 FUW720909:FVC720909 GES720909:GEY720909 GOO720909:GOU720909 GYK720909:GYQ720909 HIG720909:HIM720909 HSC720909:HSI720909 IBY720909:ICE720909 ILU720909:IMA720909 IVQ720909:IVW720909 JFM720909:JFS720909 JPI720909:JPO720909 JZE720909:JZK720909 KJA720909:KJG720909 KSW720909:KTC720909 LCS720909:LCY720909 LMO720909:LMU720909 LWK720909:LWQ720909 MGG720909:MGM720909 MQC720909:MQI720909 MZY720909:NAE720909 NJU720909:NKA720909 NTQ720909:NTW720909 ODM720909:ODS720909 ONI720909:ONO720909 OXE720909:OXK720909 PHA720909:PHG720909 PQW720909:PRC720909 QAS720909:QAY720909 QKO720909:QKU720909 QUK720909:QUQ720909 REG720909:REM720909 ROC720909:ROI720909 RXY720909:RYE720909 SHU720909:SIA720909 SRQ720909:SRW720909 TBM720909:TBS720909 TLI720909:TLO720909 TVE720909:TVK720909 UFA720909:UFG720909 UOW720909:UPC720909 UYS720909:UYY720909 VIO720909:VIU720909 VSK720909:VSQ720909 WCG720909:WCM720909 WMC720909:WMI720909 WVY720909:WWE720909 Q786445:W786445 JM786445:JS786445 TI786445:TO786445 ADE786445:ADK786445 ANA786445:ANG786445 AWW786445:AXC786445 BGS786445:BGY786445 BQO786445:BQU786445 CAK786445:CAQ786445 CKG786445:CKM786445 CUC786445:CUI786445 DDY786445:DEE786445 DNU786445:DOA786445 DXQ786445:DXW786445 EHM786445:EHS786445 ERI786445:ERO786445 FBE786445:FBK786445 FLA786445:FLG786445 FUW786445:FVC786445 GES786445:GEY786445 GOO786445:GOU786445 GYK786445:GYQ786445 HIG786445:HIM786445 HSC786445:HSI786445 IBY786445:ICE786445 ILU786445:IMA786445 IVQ786445:IVW786445 JFM786445:JFS786445 JPI786445:JPO786445 JZE786445:JZK786445 KJA786445:KJG786445 KSW786445:KTC786445 LCS786445:LCY786445 LMO786445:LMU786445 LWK786445:LWQ786445 MGG786445:MGM786445 MQC786445:MQI786445 MZY786445:NAE786445 NJU786445:NKA786445 NTQ786445:NTW786445 ODM786445:ODS786445 ONI786445:ONO786445 OXE786445:OXK786445 PHA786445:PHG786445 PQW786445:PRC786445 QAS786445:QAY786445 QKO786445:QKU786445 QUK786445:QUQ786445 REG786445:REM786445 ROC786445:ROI786445 RXY786445:RYE786445 SHU786445:SIA786445 SRQ786445:SRW786445 TBM786445:TBS786445 TLI786445:TLO786445 TVE786445:TVK786445 UFA786445:UFG786445 UOW786445:UPC786445 UYS786445:UYY786445 VIO786445:VIU786445 VSK786445:VSQ786445 WCG786445:WCM786445 WMC786445:WMI786445 WVY786445:WWE786445 Q851981:W851981 JM851981:JS851981 TI851981:TO851981 ADE851981:ADK851981 ANA851981:ANG851981 AWW851981:AXC851981 BGS851981:BGY851981 BQO851981:BQU851981 CAK851981:CAQ851981 CKG851981:CKM851981 CUC851981:CUI851981 DDY851981:DEE851981 DNU851981:DOA851981 DXQ851981:DXW851981 EHM851981:EHS851981 ERI851981:ERO851981 FBE851981:FBK851981 FLA851981:FLG851981 FUW851981:FVC851981 GES851981:GEY851981 GOO851981:GOU851981 GYK851981:GYQ851981 HIG851981:HIM851981 HSC851981:HSI851981 IBY851981:ICE851981 ILU851981:IMA851981 IVQ851981:IVW851981 JFM851981:JFS851981 JPI851981:JPO851981 JZE851981:JZK851981 KJA851981:KJG851981 KSW851981:KTC851981 LCS851981:LCY851981 LMO851981:LMU851981 LWK851981:LWQ851981 MGG851981:MGM851981 MQC851981:MQI851981 MZY851981:NAE851981 NJU851981:NKA851981 NTQ851981:NTW851981 ODM851981:ODS851981 ONI851981:ONO851981 OXE851981:OXK851981 PHA851981:PHG851981 PQW851981:PRC851981 QAS851981:QAY851981 QKO851981:QKU851981 QUK851981:QUQ851981 REG851981:REM851981 ROC851981:ROI851981 RXY851981:RYE851981 SHU851981:SIA851981 SRQ851981:SRW851981 TBM851981:TBS851981 TLI851981:TLO851981 TVE851981:TVK851981 UFA851981:UFG851981 UOW851981:UPC851981 UYS851981:UYY851981 VIO851981:VIU851981 VSK851981:VSQ851981 WCG851981:WCM851981 WMC851981:WMI851981 WVY851981:WWE851981 Q917517:W917517 JM917517:JS917517 TI917517:TO917517 ADE917517:ADK917517 ANA917517:ANG917517 AWW917517:AXC917517 BGS917517:BGY917517 BQO917517:BQU917517 CAK917517:CAQ917517 CKG917517:CKM917517 CUC917517:CUI917517 DDY917517:DEE917517 DNU917517:DOA917517 DXQ917517:DXW917517 EHM917517:EHS917517 ERI917517:ERO917517 FBE917517:FBK917517 FLA917517:FLG917517 FUW917517:FVC917517 GES917517:GEY917517 GOO917517:GOU917517 GYK917517:GYQ917517 HIG917517:HIM917517 HSC917517:HSI917517 IBY917517:ICE917517 ILU917517:IMA917517 IVQ917517:IVW917517 JFM917517:JFS917517 JPI917517:JPO917517 JZE917517:JZK917517 KJA917517:KJG917517 KSW917517:KTC917517 LCS917517:LCY917517 LMO917517:LMU917517 LWK917517:LWQ917517 MGG917517:MGM917517 MQC917517:MQI917517 MZY917517:NAE917517 NJU917517:NKA917517 NTQ917517:NTW917517 ODM917517:ODS917517 ONI917517:ONO917517 OXE917517:OXK917517 PHA917517:PHG917517 PQW917517:PRC917517 QAS917517:QAY917517 QKO917517:QKU917517 QUK917517:QUQ917517 REG917517:REM917517 ROC917517:ROI917517 RXY917517:RYE917517 SHU917517:SIA917517 SRQ917517:SRW917517 TBM917517:TBS917517 TLI917517:TLO917517 TVE917517:TVK917517 UFA917517:UFG917517 UOW917517:UPC917517 UYS917517:UYY917517 VIO917517:VIU917517 VSK917517:VSQ917517 WCG917517:WCM917517 WMC917517:WMI917517 WVY917517:WWE917517 Q983053:W983053 JM983053:JS983053 TI983053:TO983053 ADE983053:ADK983053 ANA983053:ANG983053 AWW983053:AXC983053 BGS983053:BGY983053 BQO983053:BQU983053 CAK983053:CAQ983053 CKG983053:CKM983053 CUC983053:CUI983053 DDY983053:DEE983053 DNU983053:DOA983053 DXQ983053:DXW983053 EHM983053:EHS983053 ERI983053:ERO983053 FBE983053:FBK983053 FLA983053:FLG983053 FUW983053:FVC983053 GES983053:GEY983053 GOO983053:GOU983053 GYK983053:GYQ983053 HIG983053:HIM983053 HSC983053:HSI983053 IBY983053:ICE983053 ILU983053:IMA983053 IVQ983053:IVW983053 JFM983053:JFS983053 JPI983053:JPO983053 JZE983053:JZK983053 KJA983053:KJG983053 KSW983053:KTC983053 LCS983053:LCY983053 LMO983053:LMU983053 LWK983053:LWQ983053 MGG983053:MGM983053 MQC983053:MQI983053 MZY983053:NAE983053 NJU983053:NKA983053 NTQ983053:NTW983053 ODM983053:ODS983053 ONI983053:ONO983053 OXE983053:OXK983053 PHA983053:PHG983053 PQW983053:PRC983053 QAS983053:QAY983053 QKO983053:QKU983053 QUK983053:QUQ983053 REG983053:REM983053 ROC983053:ROI983053 RXY983053:RYE983053 SHU983053:SIA983053 SRQ983053:SRW983053 TBM983053:TBS983053 TLI983053:TLO983053 TVE983053:TVK983053 UFA983053:UFG983053 UOW983053:UPC983053 UYS983053:UYY983053 VIO983053:VIU983053 VSK983053:VSQ983053 WCG983053:WCM983053 WMC983053:WMI983053 WVY983053:WWE983053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election activeCell="J27" sqref="J27"/>
    </sheetView>
  </sheetViews>
  <sheetFormatPr defaultColWidth="9" defaultRowHeight="15" customHeight="1"/>
  <cols>
    <col min="1" max="5" width="2.625" style="14" customWidth="1"/>
    <col min="6" max="7" width="10.625" style="14" customWidth="1"/>
    <col min="8" max="8" width="18.375" style="14" customWidth="1"/>
    <col min="9" max="12" width="20.625" style="14" customWidth="1"/>
    <col min="13" max="13" width="9" style="14" customWidth="1"/>
    <col min="14" max="16384" width="9" style="14"/>
  </cols>
  <sheetData>
    <row r="3" spans="1:9" ht="15" customHeight="1">
      <c r="A3" s="14" t="s">
        <v>1220</v>
      </c>
    </row>
    <row r="4" spans="1:9" ht="15" customHeight="1">
      <c r="H4" s="125" t="s">
        <v>1241</v>
      </c>
      <c r="I4" s="121" t="s">
        <v>1242</v>
      </c>
    </row>
    <row r="5" spans="1:9" ht="15" customHeight="1">
      <c r="H5" s="118">
        <v>0</v>
      </c>
      <c r="I5" s="122" t="s">
        <v>1243</v>
      </c>
    </row>
    <row r="6" spans="1:9" ht="15" customHeight="1">
      <c r="H6" s="119">
        <v>100</v>
      </c>
      <c r="I6" s="123" t="s">
        <v>1244</v>
      </c>
    </row>
    <row r="7" spans="1:9" ht="15" customHeight="1">
      <c r="H7" s="119">
        <v>200</v>
      </c>
      <c r="I7" s="123" t="s">
        <v>1245</v>
      </c>
    </row>
    <row r="8" spans="1:9" ht="15" customHeight="1">
      <c r="H8" s="119">
        <v>300</v>
      </c>
      <c r="I8" s="123" t="s">
        <v>1246</v>
      </c>
    </row>
    <row r="9" spans="1:9" ht="15" customHeight="1">
      <c r="H9" s="120" t="s">
        <v>1223</v>
      </c>
      <c r="I9" s="124"/>
    </row>
    <row r="12" spans="1:9" ht="15" customHeight="1">
      <c r="A12" s="14" t="s">
        <v>1220</v>
      </c>
    </row>
    <row r="13" spans="1:9" ht="15" customHeight="1">
      <c r="H13" s="125" t="s">
        <v>1228</v>
      </c>
      <c r="I13" s="121" t="s">
        <v>1229</v>
      </c>
    </row>
    <row r="14" spans="1:9" ht="15" customHeight="1">
      <c r="H14" s="118">
        <v>1</v>
      </c>
      <c r="I14" s="122" t="s">
        <v>1</v>
      </c>
    </row>
    <row r="15" spans="1:9" ht="15" customHeight="1">
      <c r="H15" s="119">
        <v>2</v>
      </c>
      <c r="I15" s="123" t="s">
        <v>1224</v>
      </c>
    </row>
    <row r="16" spans="1:9" ht="15" customHeight="1">
      <c r="H16" s="119">
        <v>3</v>
      </c>
      <c r="I16" s="123" t="s">
        <v>1225</v>
      </c>
    </row>
    <row r="17" spans="1:10" ht="15" customHeight="1">
      <c r="H17" s="119">
        <v>4</v>
      </c>
      <c r="I17" s="123" t="s">
        <v>1226</v>
      </c>
    </row>
    <row r="18" spans="1:10" ht="15" customHeight="1">
      <c r="H18" s="119">
        <v>5</v>
      </c>
      <c r="I18" s="123" t="s">
        <v>1227</v>
      </c>
    </row>
    <row r="19" spans="1:10" ht="15" customHeight="1">
      <c r="H19" s="120" t="s">
        <v>1223</v>
      </c>
      <c r="I19" s="124"/>
    </row>
    <row r="21" spans="1:10" ht="15" customHeight="1">
      <c r="H21" s="55"/>
    </row>
    <row r="22" spans="1:10" ht="15" customHeight="1">
      <c r="A22" s="14" t="s">
        <v>1218</v>
      </c>
    </row>
    <row r="23" spans="1:10" ht="15" customHeight="1">
      <c r="H23" s="125" t="s">
        <v>1236</v>
      </c>
      <c r="I23" s="121" t="s">
        <v>1237</v>
      </c>
      <c r="J23" s="178" t="s">
        <v>1244</v>
      </c>
    </row>
    <row r="24" spans="1:10" ht="15" customHeight="1">
      <c r="H24" s="118">
        <v>101</v>
      </c>
      <c r="I24" s="127" t="s">
        <v>1235</v>
      </c>
      <c r="J24" s="175">
        <v>1</v>
      </c>
    </row>
    <row r="25" spans="1:10" ht="15" customHeight="1">
      <c r="H25" s="119">
        <v>102</v>
      </c>
      <c r="I25" s="128" t="s">
        <v>1231</v>
      </c>
      <c r="J25" s="176">
        <v>1</v>
      </c>
    </row>
    <row r="26" spans="1:10" ht="15" customHeight="1">
      <c r="H26" s="119">
        <v>103</v>
      </c>
      <c r="I26" s="128" t="s">
        <v>1232</v>
      </c>
      <c r="J26" s="176">
        <v>3</v>
      </c>
    </row>
    <row r="27" spans="1:10" ht="15" customHeight="1">
      <c r="H27" s="119">
        <v>104</v>
      </c>
      <c r="I27" s="128" t="s">
        <v>1233</v>
      </c>
      <c r="J27" s="176">
        <v>4</v>
      </c>
    </row>
    <row r="28" spans="1:10" ht="15" customHeight="1">
      <c r="H28" s="119">
        <v>999</v>
      </c>
      <c r="I28" s="128" t="s">
        <v>1234</v>
      </c>
      <c r="J28" s="176"/>
    </row>
    <row r="29" spans="1:10" ht="15" customHeight="1">
      <c r="H29" s="126" t="s">
        <v>1223</v>
      </c>
      <c r="I29" s="129"/>
      <c r="J29" s="177"/>
    </row>
  </sheetData>
  <phoneticPr fontId="13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F1" workbookViewId="0">
      <pane ySplit="2" topLeftCell="A9" activePane="bottomLeft" state="frozen"/>
      <selection pane="bottomLeft" activeCell="K13" sqref="K1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3" customWidth="1"/>
    <col min="34" max="34" width="23.875" customWidth="1"/>
    <col min="35" max="35" width="7.375" style="3" customWidth="1"/>
    <col min="37" max="37" width="9" style="3" customWidth="1"/>
    <col min="41" max="41" width="8" customWidth="1"/>
    <col min="42" max="42" width="6.75" customWidth="1"/>
  </cols>
  <sheetData>
    <row r="1" spans="1:42">
      <c r="A1" t="s">
        <v>106</v>
      </c>
      <c r="E1" t="s">
        <v>107</v>
      </c>
      <c r="R1" t="s">
        <v>108</v>
      </c>
      <c r="AO1" t="s">
        <v>109</v>
      </c>
    </row>
    <row r="2" spans="1:42">
      <c r="A2" s="4" t="s">
        <v>110</v>
      </c>
      <c r="B2" s="4" t="s">
        <v>111</v>
      </c>
      <c r="C2" s="4" t="s">
        <v>112</v>
      </c>
      <c r="D2" s="4" t="s">
        <v>34</v>
      </c>
      <c r="E2" s="5" t="s">
        <v>113</v>
      </c>
      <c r="F2" s="5" t="s">
        <v>114</v>
      </c>
      <c r="G2" s="5" t="s">
        <v>115</v>
      </c>
      <c r="H2" s="5" t="s">
        <v>116</v>
      </c>
      <c r="I2" s="5" t="s">
        <v>117</v>
      </c>
      <c r="J2" s="5" t="s">
        <v>118</v>
      </c>
      <c r="K2" s="5" t="s">
        <v>119</v>
      </c>
      <c r="L2" s="5" t="s">
        <v>120</v>
      </c>
      <c r="M2" s="5" t="s">
        <v>121</v>
      </c>
      <c r="N2" s="5" t="s">
        <v>122</v>
      </c>
      <c r="O2" s="5" t="s">
        <v>123</v>
      </c>
      <c r="P2" s="5" t="s">
        <v>124</v>
      </c>
      <c r="Q2" s="5" t="s">
        <v>125</v>
      </c>
      <c r="R2" s="6" t="s">
        <v>113</v>
      </c>
      <c r="S2" s="6" t="s">
        <v>114</v>
      </c>
      <c r="T2" s="6" t="s">
        <v>115</v>
      </c>
      <c r="U2" s="6" t="s">
        <v>116</v>
      </c>
      <c r="V2" s="6" t="s">
        <v>117</v>
      </c>
      <c r="W2" s="6" t="s">
        <v>118</v>
      </c>
      <c r="X2" s="6" t="s">
        <v>119</v>
      </c>
      <c r="Y2" s="6" t="s">
        <v>120</v>
      </c>
      <c r="Z2" s="6" t="s">
        <v>121</v>
      </c>
      <c r="AA2" s="6" t="s">
        <v>122</v>
      </c>
      <c r="AB2" s="6" t="s">
        <v>123</v>
      </c>
      <c r="AC2" s="6" t="s">
        <v>124</v>
      </c>
      <c r="AD2" s="6" t="s">
        <v>125</v>
      </c>
      <c r="AE2" s="4" t="s">
        <v>126</v>
      </c>
      <c r="AF2" s="4" t="s">
        <v>127</v>
      </c>
      <c r="AG2" s="4" t="s">
        <v>128</v>
      </c>
      <c r="AH2" s="4" t="s">
        <v>129</v>
      </c>
      <c r="AI2" s="4" t="s">
        <v>130</v>
      </c>
      <c r="AJ2" s="4" t="s">
        <v>131</v>
      </c>
      <c r="AK2" s="4" t="s">
        <v>132</v>
      </c>
      <c r="AL2" s="4" t="s">
        <v>133</v>
      </c>
      <c r="AM2" s="4" t="s">
        <v>134</v>
      </c>
      <c r="AN2" s="4" t="s">
        <v>135</v>
      </c>
      <c r="AO2" s="5" t="s">
        <v>26</v>
      </c>
      <c r="AP2" s="5" t="s">
        <v>26</v>
      </c>
    </row>
    <row r="3" spans="1:42">
      <c r="A3" t="s">
        <v>136</v>
      </c>
      <c r="B3" t="s">
        <v>137</v>
      </c>
      <c r="C3" t="s">
        <v>137</v>
      </c>
      <c r="D3" t="s">
        <v>138</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113</v>
      </c>
      <c r="AF3" t="s">
        <v>112</v>
      </c>
      <c r="AG3" s="3" t="s">
        <v>139</v>
      </c>
      <c r="AH3" t="s">
        <v>46</v>
      </c>
      <c r="AI3" s="3" t="s">
        <v>140</v>
      </c>
      <c r="AJ3" t="s">
        <v>141</v>
      </c>
      <c r="AK3" s="3" t="s">
        <v>142</v>
      </c>
      <c r="AL3" t="s">
        <v>143</v>
      </c>
      <c r="AM3" s="3" t="s">
        <v>134</v>
      </c>
      <c r="AN3" t="s">
        <v>144</v>
      </c>
      <c r="AO3" s="3" t="s">
        <v>145</v>
      </c>
      <c r="AP3">
        <v>11</v>
      </c>
    </row>
    <row r="4" spans="1:42">
      <c r="B4" t="s">
        <v>146</v>
      </c>
      <c r="C4" t="s">
        <v>146</v>
      </c>
      <c r="D4" t="s">
        <v>136</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114</v>
      </c>
      <c r="AF4" t="s">
        <v>147</v>
      </c>
      <c r="AG4" s="3" t="s">
        <v>148</v>
      </c>
      <c r="AH4" t="s">
        <v>149</v>
      </c>
      <c r="AI4" s="3" t="s">
        <v>150</v>
      </c>
      <c r="AJ4" t="s">
        <v>151</v>
      </c>
      <c r="AK4" s="3" t="s">
        <v>152</v>
      </c>
      <c r="AL4" t="s">
        <v>153</v>
      </c>
      <c r="AM4" s="3" t="s">
        <v>154</v>
      </c>
      <c r="AN4" t="s">
        <v>155</v>
      </c>
      <c r="AO4" s="3" t="s">
        <v>156</v>
      </c>
      <c r="AP4">
        <v>12</v>
      </c>
    </row>
    <row r="5" spans="1:42">
      <c r="B5" t="s">
        <v>157</v>
      </c>
      <c r="C5" t="s">
        <v>157</v>
      </c>
      <c r="D5" t="s">
        <v>137</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115</v>
      </c>
      <c r="AF5" t="s">
        <v>158</v>
      </c>
      <c r="AG5" s="3" t="s">
        <v>159</v>
      </c>
      <c r="AH5" t="s">
        <v>160</v>
      </c>
      <c r="AI5" s="3" t="s">
        <v>161</v>
      </c>
      <c r="AJ5" t="s">
        <v>162</v>
      </c>
      <c r="AK5" s="3" t="s">
        <v>163</v>
      </c>
      <c r="AL5" t="s">
        <v>164</v>
      </c>
      <c r="AM5" s="3" t="s">
        <v>165</v>
      </c>
      <c r="AN5" t="s">
        <v>166</v>
      </c>
      <c r="AO5" s="3" t="s">
        <v>167</v>
      </c>
      <c r="AP5">
        <v>13</v>
      </c>
    </row>
    <row r="6" spans="1:42">
      <c r="B6" t="s">
        <v>168</v>
      </c>
      <c r="C6" t="s">
        <v>168</v>
      </c>
      <c r="D6" t="s">
        <v>146</v>
      </c>
      <c r="E6">
        <v>1</v>
      </c>
      <c r="F6">
        <v>1</v>
      </c>
      <c r="G6">
        <v>3</v>
      </c>
      <c r="H6">
        <v>3</v>
      </c>
      <c r="I6">
        <v>3</v>
      </c>
      <c r="J6">
        <v>3</v>
      </c>
      <c r="K6">
        <v>3</v>
      </c>
      <c r="L6">
        <v>3</v>
      </c>
      <c r="M6">
        <v>5</v>
      </c>
      <c r="N6">
        <v>3</v>
      </c>
      <c r="O6">
        <v>3</v>
      </c>
      <c r="P6">
        <v>3</v>
      </c>
      <c r="Q6">
        <v>2</v>
      </c>
      <c r="R6">
        <v>0.6</v>
      </c>
      <c r="S6">
        <v>0.6</v>
      </c>
      <c r="T6">
        <v>0.6</v>
      </c>
      <c r="U6">
        <v>0.6</v>
      </c>
      <c r="AC6">
        <v>0.6</v>
      </c>
      <c r="AD6">
        <v>0.6</v>
      </c>
      <c r="AE6" t="s">
        <v>116</v>
      </c>
      <c r="AF6" t="s">
        <v>169</v>
      </c>
      <c r="AG6" s="3" t="s">
        <v>170</v>
      </c>
      <c r="AH6" t="s">
        <v>171</v>
      </c>
      <c r="AI6" s="3" t="s">
        <v>172</v>
      </c>
      <c r="AJ6" t="s">
        <v>173</v>
      </c>
      <c r="AK6" s="3" t="s">
        <v>174</v>
      </c>
      <c r="AL6" t="s">
        <v>175</v>
      </c>
      <c r="AM6" s="3" t="s">
        <v>176</v>
      </c>
      <c r="AO6" s="3" t="s">
        <v>177</v>
      </c>
      <c r="AP6">
        <v>14</v>
      </c>
    </row>
    <row r="7" spans="1:42">
      <c r="B7" t="s">
        <v>178</v>
      </c>
      <c r="C7" t="s">
        <v>178</v>
      </c>
      <c r="D7" t="s">
        <v>157</v>
      </c>
      <c r="E7">
        <v>1.5</v>
      </c>
      <c r="F7">
        <v>1.5</v>
      </c>
      <c r="G7">
        <v>4</v>
      </c>
      <c r="H7">
        <v>4</v>
      </c>
      <c r="I7">
        <v>4</v>
      </c>
      <c r="J7">
        <v>4</v>
      </c>
      <c r="K7">
        <v>4</v>
      </c>
      <c r="L7">
        <v>4</v>
      </c>
      <c r="M7">
        <v>6</v>
      </c>
      <c r="N7">
        <v>4</v>
      </c>
      <c r="O7">
        <v>4</v>
      </c>
      <c r="P7">
        <v>4</v>
      </c>
      <c r="Q7">
        <v>3</v>
      </c>
      <c r="AD7">
        <v>0.7</v>
      </c>
      <c r="AE7" t="s">
        <v>117</v>
      </c>
      <c r="AF7" t="s">
        <v>179</v>
      </c>
      <c r="AG7" s="3" t="s">
        <v>180</v>
      </c>
      <c r="AH7" t="s">
        <v>181</v>
      </c>
      <c r="AI7" s="3" t="s">
        <v>182</v>
      </c>
      <c r="AJ7" t="s">
        <v>183</v>
      </c>
      <c r="AK7" s="3" t="s">
        <v>184</v>
      </c>
      <c r="AL7" t="s">
        <v>185</v>
      </c>
      <c r="AM7" s="3" t="s">
        <v>186</v>
      </c>
      <c r="AO7" s="3" t="s">
        <v>187</v>
      </c>
      <c r="AP7">
        <v>15</v>
      </c>
    </row>
    <row r="8" spans="1:42">
      <c r="B8" t="s">
        <v>188</v>
      </c>
      <c r="C8" t="s">
        <v>188</v>
      </c>
      <c r="D8" t="s">
        <v>168</v>
      </c>
      <c r="E8">
        <v>2</v>
      </c>
      <c r="F8">
        <v>2</v>
      </c>
      <c r="G8">
        <v>5</v>
      </c>
      <c r="H8">
        <v>5</v>
      </c>
      <c r="I8">
        <v>5</v>
      </c>
      <c r="J8">
        <v>5</v>
      </c>
      <c r="K8">
        <v>5</v>
      </c>
      <c r="L8">
        <v>5</v>
      </c>
      <c r="M8">
        <v>7</v>
      </c>
      <c r="N8">
        <v>5</v>
      </c>
      <c r="Q8">
        <v>4</v>
      </c>
      <c r="AE8" t="s">
        <v>118</v>
      </c>
      <c r="AF8" t="s">
        <v>189</v>
      </c>
      <c r="AG8" s="3" t="s">
        <v>190</v>
      </c>
      <c r="AH8" t="s">
        <v>191</v>
      </c>
      <c r="AI8" s="3" t="s">
        <v>192</v>
      </c>
      <c r="AJ8" t="s">
        <v>193</v>
      </c>
      <c r="AK8" s="3" t="s">
        <v>194</v>
      </c>
      <c r="AL8" t="s">
        <v>5</v>
      </c>
      <c r="AM8" s="3" t="s">
        <v>5</v>
      </c>
      <c r="AP8">
        <v>16</v>
      </c>
    </row>
    <row r="9" spans="1:42">
      <c r="B9" t="s">
        <v>195</v>
      </c>
      <c r="C9" t="s">
        <v>195</v>
      </c>
      <c r="D9" t="s">
        <v>178</v>
      </c>
      <c r="M9">
        <v>8</v>
      </c>
      <c r="AE9" t="s">
        <v>119</v>
      </c>
      <c r="AG9" s="3" t="s">
        <v>196</v>
      </c>
      <c r="AH9" t="s">
        <v>197</v>
      </c>
      <c r="AI9" s="3" t="s">
        <v>198</v>
      </c>
      <c r="AJ9" t="s">
        <v>199</v>
      </c>
      <c r="AP9">
        <v>17</v>
      </c>
    </row>
    <row r="10" spans="1:42">
      <c r="B10" t="s">
        <v>200</v>
      </c>
      <c r="C10" t="s">
        <v>200</v>
      </c>
      <c r="D10" t="s">
        <v>188</v>
      </c>
      <c r="M10">
        <v>9</v>
      </c>
      <c r="AE10" t="s">
        <v>120</v>
      </c>
      <c r="AG10" s="3" t="s">
        <v>201</v>
      </c>
      <c r="AH10" t="s">
        <v>202</v>
      </c>
      <c r="AP10">
        <v>18</v>
      </c>
    </row>
    <row r="11" spans="1:42">
      <c r="B11" t="s">
        <v>203</v>
      </c>
      <c r="C11" t="s">
        <v>203</v>
      </c>
      <c r="D11" t="s">
        <v>195</v>
      </c>
      <c r="M11">
        <v>10</v>
      </c>
      <c r="AE11" t="s">
        <v>121</v>
      </c>
      <c r="AG11" s="3" t="s">
        <v>204</v>
      </c>
      <c r="AH11" t="s">
        <v>205</v>
      </c>
      <c r="AP11">
        <v>19</v>
      </c>
    </row>
    <row r="12" spans="1:42">
      <c r="B12" t="s">
        <v>206</v>
      </c>
      <c r="C12" t="s">
        <v>206</v>
      </c>
      <c r="D12" t="s">
        <v>200</v>
      </c>
      <c r="M12">
        <v>11</v>
      </c>
      <c r="AE12" t="s">
        <v>122</v>
      </c>
      <c r="AG12" s="3" t="s">
        <v>207</v>
      </c>
      <c r="AH12" t="s">
        <v>208</v>
      </c>
      <c r="AP12">
        <v>20</v>
      </c>
    </row>
    <row r="13" spans="1:42">
      <c r="B13" t="s">
        <v>209</v>
      </c>
      <c r="C13" t="s">
        <v>209</v>
      </c>
      <c r="D13" t="s">
        <v>203</v>
      </c>
      <c r="M13">
        <v>12</v>
      </c>
      <c r="AE13" t="s">
        <v>123</v>
      </c>
      <c r="AG13" s="3" t="s">
        <v>210</v>
      </c>
      <c r="AH13" t="s">
        <v>211</v>
      </c>
      <c r="AP13">
        <v>21</v>
      </c>
    </row>
    <row r="14" spans="1:42">
      <c r="B14" t="s">
        <v>212</v>
      </c>
      <c r="C14" t="s">
        <v>212</v>
      </c>
      <c r="D14" t="s">
        <v>206</v>
      </c>
      <c r="M14">
        <v>13</v>
      </c>
      <c r="AE14" t="s">
        <v>124</v>
      </c>
      <c r="AG14" s="3" t="s">
        <v>213</v>
      </c>
      <c r="AH14" t="s">
        <v>214</v>
      </c>
      <c r="AP14">
        <v>22</v>
      </c>
    </row>
    <row r="15" spans="1:42">
      <c r="B15" t="s">
        <v>215</v>
      </c>
      <c r="C15" t="s">
        <v>215</v>
      </c>
      <c r="D15" t="s">
        <v>209</v>
      </c>
      <c r="AE15" t="s">
        <v>125</v>
      </c>
      <c r="AG15" s="3" t="s">
        <v>216</v>
      </c>
      <c r="AH15" t="s">
        <v>217</v>
      </c>
      <c r="AP15">
        <v>23</v>
      </c>
    </row>
    <row r="16" spans="1:42">
      <c r="B16" t="s">
        <v>218</v>
      </c>
      <c r="C16" t="s">
        <v>218</v>
      </c>
      <c r="D16" t="s">
        <v>212</v>
      </c>
      <c r="AG16" s="3" t="s">
        <v>219</v>
      </c>
      <c r="AH16" t="s">
        <v>220</v>
      </c>
      <c r="AP16">
        <v>24</v>
      </c>
    </row>
    <row r="17" spans="2:42">
      <c r="B17" t="s">
        <v>221</v>
      </c>
      <c r="C17" t="s">
        <v>221</v>
      </c>
      <c r="D17" t="s">
        <v>215</v>
      </c>
      <c r="AG17" s="3" t="s">
        <v>222</v>
      </c>
      <c r="AH17" t="s">
        <v>223</v>
      </c>
      <c r="AP17">
        <v>25</v>
      </c>
    </row>
    <row r="18" spans="2:42">
      <c r="B18" t="s">
        <v>224</v>
      </c>
      <c r="C18" t="s">
        <v>224</v>
      </c>
      <c r="D18" t="s">
        <v>218</v>
      </c>
      <c r="AG18" s="3" t="s">
        <v>225</v>
      </c>
      <c r="AH18" t="s">
        <v>226</v>
      </c>
      <c r="AP18">
        <v>26</v>
      </c>
    </row>
    <row r="19" spans="2:42">
      <c r="B19" t="s">
        <v>227</v>
      </c>
      <c r="C19" t="s">
        <v>227</v>
      </c>
      <c r="D19" t="s">
        <v>221</v>
      </c>
      <c r="AG19" s="3" t="s">
        <v>228</v>
      </c>
      <c r="AH19" t="s">
        <v>229</v>
      </c>
      <c r="AP19">
        <v>27</v>
      </c>
    </row>
    <row r="20" spans="2:42">
      <c r="B20" t="s">
        <v>230</v>
      </c>
      <c r="C20" t="s">
        <v>230</v>
      </c>
      <c r="D20" t="s">
        <v>224</v>
      </c>
      <c r="AG20" s="3" t="s">
        <v>231</v>
      </c>
      <c r="AH20" t="s">
        <v>232</v>
      </c>
      <c r="AP20">
        <v>28</v>
      </c>
    </row>
    <row r="21" spans="2:42">
      <c r="B21" t="s">
        <v>233</v>
      </c>
      <c r="C21" t="s">
        <v>233</v>
      </c>
      <c r="D21" t="s">
        <v>227</v>
      </c>
      <c r="AG21" s="3" t="s">
        <v>234</v>
      </c>
      <c r="AH21" t="s">
        <v>235</v>
      </c>
      <c r="AP21">
        <v>29</v>
      </c>
    </row>
    <row r="22" spans="2:42">
      <c r="B22" t="s">
        <v>236</v>
      </c>
      <c r="C22" t="s">
        <v>236</v>
      </c>
      <c r="D22" t="s">
        <v>230</v>
      </c>
      <c r="AG22" s="3" t="s">
        <v>237</v>
      </c>
      <c r="AH22" t="s">
        <v>238</v>
      </c>
      <c r="AP22">
        <v>30</v>
      </c>
    </row>
    <row r="23" spans="2:42">
      <c r="B23" t="s">
        <v>239</v>
      </c>
      <c r="C23" t="s">
        <v>239</v>
      </c>
      <c r="D23" t="s">
        <v>233</v>
      </c>
      <c r="AG23" s="3" t="s">
        <v>240</v>
      </c>
      <c r="AH23" t="s">
        <v>241</v>
      </c>
      <c r="AP23">
        <v>31</v>
      </c>
    </row>
    <row r="24" spans="2:42">
      <c r="B24" t="s">
        <v>242</v>
      </c>
      <c r="C24" t="s">
        <v>242</v>
      </c>
      <c r="D24" t="s">
        <v>236</v>
      </c>
      <c r="AG24" s="3" t="s">
        <v>243</v>
      </c>
      <c r="AH24" t="s">
        <v>244</v>
      </c>
      <c r="AP24">
        <v>32</v>
      </c>
    </row>
    <row r="25" spans="2:42">
      <c r="B25" t="s">
        <v>245</v>
      </c>
      <c r="C25" t="s">
        <v>245</v>
      </c>
      <c r="D25" t="s">
        <v>239</v>
      </c>
      <c r="AG25" s="3" t="s">
        <v>246</v>
      </c>
      <c r="AH25" t="s">
        <v>247</v>
      </c>
      <c r="AP25">
        <v>33</v>
      </c>
    </row>
    <row r="26" spans="2:42">
      <c r="B26" t="s">
        <v>248</v>
      </c>
      <c r="C26" t="s">
        <v>248</v>
      </c>
      <c r="D26" t="s">
        <v>242</v>
      </c>
      <c r="AG26" s="3" t="s">
        <v>249</v>
      </c>
      <c r="AH26" t="s">
        <v>250</v>
      </c>
      <c r="AP26">
        <v>34</v>
      </c>
    </row>
    <row r="27" spans="2:42">
      <c r="B27" t="s">
        <v>251</v>
      </c>
      <c r="C27" t="s">
        <v>251</v>
      </c>
      <c r="D27" t="s">
        <v>245</v>
      </c>
      <c r="AG27" s="3" t="s">
        <v>252</v>
      </c>
      <c r="AH27" t="s">
        <v>253</v>
      </c>
      <c r="AP27">
        <v>35</v>
      </c>
    </row>
    <row r="28" spans="2:42">
      <c r="B28" t="s">
        <v>254</v>
      </c>
      <c r="C28" t="s">
        <v>254</v>
      </c>
      <c r="D28" t="s">
        <v>248</v>
      </c>
      <c r="AG28" s="3" t="s">
        <v>255</v>
      </c>
      <c r="AH28" t="s">
        <v>256</v>
      </c>
      <c r="AP28">
        <v>36</v>
      </c>
    </row>
    <row r="29" spans="2:42">
      <c r="B29" t="s">
        <v>257</v>
      </c>
      <c r="C29" t="s">
        <v>257</v>
      </c>
      <c r="D29" t="s">
        <v>251</v>
      </c>
      <c r="AG29" s="3" t="s">
        <v>258</v>
      </c>
      <c r="AH29" t="s">
        <v>259</v>
      </c>
      <c r="AP29">
        <v>37</v>
      </c>
    </row>
    <row r="30" spans="2:42">
      <c r="B30" t="s">
        <v>260</v>
      </c>
      <c r="C30" t="s">
        <v>260</v>
      </c>
      <c r="D30" t="s">
        <v>254</v>
      </c>
      <c r="AG30" s="3" t="s">
        <v>261</v>
      </c>
      <c r="AH30" t="s">
        <v>262</v>
      </c>
      <c r="AP30">
        <v>38</v>
      </c>
    </row>
    <row r="31" spans="2:42">
      <c r="B31" t="s">
        <v>263</v>
      </c>
      <c r="C31" t="s">
        <v>263</v>
      </c>
      <c r="D31" t="s">
        <v>257</v>
      </c>
      <c r="AG31" s="3" t="s">
        <v>264</v>
      </c>
      <c r="AH31" t="s">
        <v>265</v>
      </c>
      <c r="AP31">
        <v>39</v>
      </c>
    </row>
    <row r="32" spans="2:42">
      <c r="B32" t="s">
        <v>266</v>
      </c>
      <c r="C32" t="s">
        <v>266</v>
      </c>
      <c r="D32" t="s">
        <v>260</v>
      </c>
      <c r="AG32" s="3" t="s">
        <v>267</v>
      </c>
      <c r="AH32" t="s">
        <v>268</v>
      </c>
      <c r="AP32">
        <v>40</v>
      </c>
    </row>
    <row r="33" spans="2:42">
      <c r="B33" t="s">
        <v>269</v>
      </c>
      <c r="C33" t="s">
        <v>269</v>
      </c>
      <c r="D33" t="s">
        <v>263</v>
      </c>
      <c r="AG33" s="3" t="s">
        <v>270</v>
      </c>
      <c r="AH33" t="s">
        <v>271</v>
      </c>
      <c r="AP33">
        <v>41</v>
      </c>
    </row>
    <row r="34" spans="2:42">
      <c r="B34" t="s">
        <v>272</v>
      </c>
      <c r="C34" t="s">
        <v>272</v>
      </c>
      <c r="D34" t="s">
        <v>266</v>
      </c>
      <c r="AG34" s="3" t="s">
        <v>273</v>
      </c>
      <c r="AH34" t="s">
        <v>274</v>
      </c>
      <c r="AP34">
        <v>42</v>
      </c>
    </row>
    <row r="35" spans="2:42">
      <c r="B35" t="s">
        <v>275</v>
      </c>
      <c r="C35" t="s">
        <v>275</v>
      </c>
      <c r="D35" t="s">
        <v>269</v>
      </c>
      <c r="AG35" s="3" t="s">
        <v>276</v>
      </c>
      <c r="AH35" t="s">
        <v>277</v>
      </c>
      <c r="AP35">
        <v>43</v>
      </c>
    </row>
    <row r="36" spans="2:42">
      <c r="B36" t="s">
        <v>278</v>
      </c>
      <c r="C36" t="s">
        <v>278</v>
      </c>
      <c r="D36" t="s">
        <v>272</v>
      </c>
      <c r="AG36" s="3" t="s">
        <v>279</v>
      </c>
      <c r="AH36" t="s">
        <v>280</v>
      </c>
      <c r="AP36">
        <v>44</v>
      </c>
    </row>
    <row r="37" spans="2:42">
      <c r="B37" t="s">
        <v>281</v>
      </c>
      <c r="C37" t="s">
        <v>281</v>
      </c>
      <c r="D37" t="s">
        <v>275</v>
      </c>
      <c r="AG37" s="3" t="s">
        <v>282</v>
      </c>
      <c r="AH37" t="s">
        <v>283</v>
      </c>
      <c r="AP37">
        <v>45</v>
      </c>
    </row>
    <row r="38" spans="2:42">
      <c r="B38" t="s">
        <v>284</v>
      </c>
      <c r="C38" t="s">
        <v>284</v>
      </c>
      <c r="D38" t="s">
        <v>278</v>
      </c>
      <c r="AG38" s="3" t="s">
        <v>285</v>
      </c>
      <c r="AH38" t="s">
        <v>286</v>
      </c>
      <c r="AP38">
        <v>46</v>
      </c>
    </row>
    <row r="39" spans="2:42">
      <c r="B39" t="s">
        <v>287</v>
      </c>
      <c r="C39" t="s">
        <v>287</v>
      </c>
      <c r="D39" t="s">
        <v>281</v>
      </c>
      <c r="AG39" s="3" t="s">
        <v>288</v>
      </c>
      <c r="AH39" t="s">
        <v>289</v>
      </c>
      <c r="AP39">
        <v>99</v>
      </c>
    </row>
    <row r="40" spans="2:42">
      <c r="B40" t="s">
        <v>290</v>
      </c>
      <c r="C40" t="s">
        <v>290</v>
      </c>
      <c r="D40" t="s">
        <v>284</v>
      </c>
      <c r="AG40" s="3" t="s">
        <v>291</v>
      </c>
      <c r="AH40" t="s">
        <v>292</v>
      </c>
    </row>
    <row r="41" spans="2:42">
      <c r="B41" t="s">
        <v>293</v>
      </c>
      <c r="C41" t="s">
        <v>293</v>
      </c>
      <c r="D41" t="s">
        <v>287</v>
      </c>
      <c r="AG41" s="3" t="s">
        <v>294</v>
      </c>
      <c r="AH41" t="s">
        <v>295</v>
      </c>
    </row>
    <row r="42" spans="2:42">
      <c r="B42" t="s">
        <v>296</v>
      </c>
      <c r="C42" t="s">
        <v>296</v>
      </c>
      <c r="D42" t="s">
        <v>290</v>
      </c>
      <c r="AG42" s="3" t="s">
        <v>297</v>
      </c>
      <c r="AH42" t="s">
        <v>298</v>
      </c>
    </row>
    <row r="43" spans="2:42">
      <c r="B43" t="s">
        <v>299</v>
      </c>
      <c r="C43" t="s">
        <v>299</v>
      </c>
      <c r="D43" t="s">
        <v>293</v>
      </c>
      <c r="AG43" s="3" t="s">
        <v>300</v>
      </c>
      <c r="AH43" t="s">
        <v>301</v>
      </c>
    </row>
    <row r="44" spans="2:42">
      <c r="B44" t="s">
        <v>302</v>
      </c>
      <c r="C44" t="s">
        <v>302</v>
      </c>
      <c r="D44" t="s">
        <v>296</v>
      </c>
      <c r="AG44" s="3" t="s">
        <v>303</v>
      </c>
      <c r="AH44" t="s">
        <v>304</v>
      </c>
    </row>
    <row r="45" spans="2:42">
      <c r="B45" t="s">
        <v>305</v>
      </c>
      <c r="C45" t="s">
        <v>305</v>
      </c>
      <c r="D45" t="s">
        <v>299</v>
      </c>
      <c r="AG45" s="3" t="s">
        <v>306</v>
      </c>
      <c r="AH45" t="s">
        <v>307</v>
      </c>
    </row>
    <row r="46" spans="2:42">
      <c r="B46" t="s">
        <v>308</v>
      </c>
      <c r="C46" t="s">
        <v>308</v>
      </c>
      <c r="D46" t="s">
        <v>302</v>
      </c>
      <c r="AG46" s="3" t="s">
        <v>309</v>
      </c>
      <c r="AH46" t="s">
        <v>310</v>
      </c>
    </row>
    <row r="47" spans="2:42">
      <c r="B47" t="s">
        <v>311</v>
      </c>
      <c r="C47" t="s">
        <v>311</v>
      </c>
      <c r="D47" t="s">
        <v>305</v>
      </c>
      <c r="AG47" s="3" t="s">
        <v>312</v>
      </c>
      <c r="AH47" t="s">
        <v>313</v>
      </c>
    </row>
    <row r="48" spans="2:42">
      <c r="B48" t="s">
        <v>314</v>
      </c>
      <c r="C48" t="s">
        <v>314</v>
      </c>
      <c r="D48" t="s">
        <v>308</v>
      </c>
      <c r="AG48" s="3" t="s">
        <v>315</v>
      </c>
      <c r="AH48" t="s">
        <v>316</v>
      </c>
    </row>
    <row r="49" spans="2:34">
      <c r="B49" t="s">
        <v>317</v>
      </c>
      <c r="C49" t="s">
        <v>317</v>
      </c>
      <c r="D49" t="s">
        <v>311</v>
      </c>
      <c r="AG49" s="3" t="s">
        <v>318</v>
      </c>
      <c r="AH49" t="s">
        <v>319</v>
      </c>
    </row>
    <row r="50" spans="2:34">
      <c r="D50" t="s">
        <v>314</v>
      </c>
      <c r="AG50" s="3" t="s">
        <v>320</v>
      </c>
      <c r="AH50" t="s">
        <v>321</v>
      </c>
    </row>
    <row r="51" spans="2:34">
      <c r="D51" t="s">
        <v>317</v>
      </c>
      <c r="AG51" s="3" t="s">
        <v>322</v>
      </c>
      <c r="AH51" t="s">
        <v>323</v>
      </c>
    </row>
    <row r="52" spans="2:34">
      <c r="AG52" s="3" t="s">
        <v>324</v>
      </c>
      <c r="AH52" t="s">
        <v>325</v>
      </c>
    </row>
    <row r="53" spans="2:34">
      <c r="AG53" s="3" t="s">
        <v>326</v>
      </c>
      <c r="AH53" t="s">
        <v>327</v>
      </c>
    </row>
    <row r="54" spans="2:34">
      <c r="AG54" s="3" t="s">
        <v>328</v>
      </c>
      <c r="AH54" t="s">
        <v>329</v>
      </c>
    </row>
    <row r="55" spans="2:34">
      <c r="AG55" s="3" t="s">
        <v>330</v>
      </c>
      <c r="AH55" t="s">
        <v>331</v>
      </c>
    </row>
    <row r="56" spans="2:34">
      <c r="AG56" s="3" t="s">
        <v>332</v>
      </c>
      <c r="AH56" t="s">
        <v>333</v>
      </c>
    </row>
    <row r="57" spans="2:34">
      <c r="AG57" s="3" t="s">
        <v>334</v>
      </c>
      <c r="AH57" t="s">
        <v>335</v>
      </c>
    </row>
    <row r="58" spans="2:34">
      <c r="AG58" s="3" t="s">
        <v>336</v>
      </c>
      <c r="AH58" t="s">
        <v>337</v>
      </c>
    </row>
    <row r="59" spans="2:34">
      <c r="AG59" s="3" t="s">
        <v>338</v>
      </c>
      <c r="AH59" t="s">
        <v>339</v>
      </c>
    </row>
    <row r="60" spans="2:34">
      <c r="AG60" s="3" t="s">
        <v>340</v>
      </c>
      <c r="AH60" t="s">
        <v>341</v>
      </c>
    </row>
    <row r="61" spans="2:34">
      <c r="AG61" s="3" t="s">
        <v>342</v>
      </c>
      <c r="AH61" t="s">
        <v>343</v>
      </c>
    </row>
    <row r="62" spans="2:34">
      <c r="AG62" s="3" t="s">
        <v>344</v>
      </c>
      <c r="AH62" t="s">
        <v>345</v>
      </c>
    </row>
    <row r="63" spans="2:34">
      <c r="AG63" s="3" t="s">
        <v>346</v>
      </c>
      <c r="AH63" t="s">
        <v>347</v>
      </c>
    </row>
    <row r="64" spans="2:34">
      <c r="AG64" s="3" t="s">
        <v>348</v>
      </c>
      <c r="AH64" t="s">
        <v>349</v>
      </c>
    </row>
    <row r="65" spans="33:34">
      <c r="AG65" s="3" t="s">
        <v>350</v>
      </c>
      <c r="AH65" t="s">
        <v>351</v>
      </c>
    </row>
    <row r="66" spans="33:34">
      <c r="AG66" s="3" t="s">
        <v>352</v>
      </c>
      <c r="AH66" t="s">
        <v>353</v>
      </c>
    </row>
    <row r="67" spans="33:34">
      <c r="AG67" s="3" t="s">
        <v>354</v>
      </c>
      <c r="AH67" t="s">
        <v>355</v>
      </c>
    </row>
    <row r="68" spans="33:34">
      <c r="AG68" s="3" t="s">
        <v>356</v>
      </c>
      <c r="AH68" t="s">
        <v>357</v>
      </c>
    </row>
  </sheetData>
  <phoneticPr fontId="139"/>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16" customWidth="1"/>
    <col min="2" max="2" width="9" style="16" customWidth="1"/>
    <col min="3" max="16384" width="9" style="16"/>
  </cols>
  <sheetData>
    <row r="1" spans="1:3">
      <c r="A1" s="24" t="s">
        <v>46</v>
      </c>
      <c r="B1" s="24" t="s">
        <v>139</v>
      </c>
      <c r="C1" s="19" t="s">
        <v>434</v>
      </c>
    </row>
    <row r="2" spans="1:3">
      <c r="A2" s="24" t="s">
        <v>329</v>
      </c>
      <c r="B2" s="24" t="s">
        <v>328</v>
      </c>
    </row>
    <row r="3" spans="1:3">
      <c r="A3" s="24" t="s">
        <v>149</v>
      </c>
      <c r="B3" s="24" t="s">
        <v>148</v>
      </c>
    </row>
    <row r="4" spans="1:3">
      <c r="A4" s="24" t="s">
        <v>160</v>
      </c>
      <c r="B4" s="24" t="s">
        <v>159</v>
      </c>
    </row>
    <row r="5" spans="1:3">
      <c r="A5" s="24" t="s">
        <v>171</v>
      </c>
      <c r="B5" s="24" t="s">
        <v>170</v>
      </c>
    </row>
    <row r="6" spans="1:3">
      <c r="A6" s="24" t="s">
        <v>181</v>
      </c>
      <c r="B6" s="24" t="s">
        <v>180</v>
      </c>
    </row>
    <row r="7" spans="1:3">
      <c r="A7" s="24" t="s">
        <v>191</v>
      </c>
      <c r="B7" s="24" t="s">
        <v>190</v>
      </c>
    </row>
    <row r="8" spans="1:3">
      <c r="A8" s="24" t="s">
        <v>197</v>
      </c>
      <c r="B8" s="24" t="s">
        <v>196</v>
      </c>
    </row>
    <row r="9" spans="1:3">
      <c r="A9" s="24" t="s">
        <v>202</v>
      </c>
      <c r="B9" s="24" t="s">
        <v>201</v>
      </c>
    </row>
    <row r="10" spans="1:3">
      <c r="A10" s="24" t="s">
        <v>503</v>
      </c>
      <c r="B10" s="24" t="s">
        <v>204</v>
      </c>
    </row>
    <row r="11" spans="1:3">
      <c r="A11" s="24" t="s">
        <v>208</v>
      </c>
      <c r="B11" s="24" t="s">
        <v>207</v>
      </c>
    </row>
    <row r="12" spans="1:3">
      <c r="A12" s="24" t="s">
        <v>211</v>
      </c>
      <c r="B12" s="24" t="s">
        <v>210</v>
      </c>
    </row>
    <row r="13" spans="1:3">
      <c r="A13" s="24" t="s">
        <v>214</v>
      </c>
      <c r="B13" s="24" t="s">
        <v>213</v>
      </c>
    </row>
    <row r="14" spans="1:3">
      <c r="A14" s="24" t="s">
        <v>217</v>
      </c>
      <c r="B14" s="24" t="s">
        <v>216</v>
      </c>
    </row>
    <row r="15" spans="1:3">
      <c r="A15" s="24" t="s">
        <v>502</v>
      </c>
      <c r="B15" s="24" t="s">
        <v>219</v>
      </c>
    </row>
    <row r="16" spans="1:3">
      <c r="A16" s="24" t="s">
        <v>501</v>
      </c>
      <c r="B16" s="24" t="s">
        <v>222</v>
      </c>
    </row>
    <row r="17" spans="1:2">
      <c r="A17" s="24" t="s">
        <v>226</v>
      </c>
      <c r="B17" s="24" t="s">
        <v>225</v>
      </c>
    </row>
    <row r="18" spans="1:2">
      <c r="A18" s="24" t="s">
        <v>500</v>
      </c>
      <c r="B18" s="24" t="s">
        <v>228</v>
      </c>
    </row>
    <row r="19" spans="1:2">
      <c r="A19" s="24" t="s">
        <v>232</v>
      </c>
      <c r="B19" s="24" t="s">
        <v>231</v>
      </c>
    </row>
    <row r="20" spans="1:2">
      <c r="A20" s="24" t="s">
        <v>235</v>
      </c>
      <c r="B20" s="24" t="s">
        <v>234</v>
      </c>
    </row>
    <row r="21" spans="1:2">
      <c r="A21" s="24" t="s">
        <v>499</v>
      </c>
      <c r="B21" s="24" t="s">
        <v>237</v>
      </c>
    </row>
    <row r="22" spans="1:2">
      <c r="A22" s="24" t="s">
        <v>244</v>
      </c>
      <c r="B22" s="24" t="s">
        <v>243</v>
      </c>
    </row>
    <row r="23" spans="1:2">
      <c r="A23" s="24" t="s">
        <v>247</v>
      </c>
      <c r="B23" s="24" t="s">
        <v>246</v>
      </c>
    </row>
    <row r="24" spans="1:2">
      <c r="A24" s="24" t="s">
        <v>250</v>
      </c>
      <c r="B24" s="24" t="s">
        <v>249</v>
      </c>
    </row>
    <row r="25" spans="1:2">
      <c r="A25" s="24" t="s">
        <v>253</v>
      </c>
      <c r="B25" s="24" t="s">
        <v>252</v>
      </c>
    </row>
    <row r="26" spans="1:2">
      <c r="A26" s="24" t="s">
        <v>256</v>
      </c>
      <c r="B26" s="24" t="s">
        <v>255</v>
      </c>
    </row>
    <row r="27" spans="1:2">
      <c r="A27" s="24" t="s">
        <v>259</v>
      </c>
      <c r="B27" s="24" t="s">
        <v>258</v>
      </c>
    </row>
    <row r="28" spans="1:2">
      <c r="A28" s="24" t="s">
        <v>498</v>
      </c>
      <c r="B28" s="24" t="s">
        <v>261</v>
      </c>
    </row>
    <row r="29" spans="1:2">
      <c r="A29" s="24" t="s">
        <v>265</v>
      </c>
      <c r="B29" s="24" t="s">
        <v>264</v>
      </c>
    </row>
    <row r="30" spans="1:2">
      <c r="A30" s="24" t="s">
        <v>497</v>
      </c>
      <c r="B30" s="24" t="s">
        <v>267</v>
      </c>
    </row>
    <row r="31" spans="1:2">
      <c r="A31" s="24" t="s">
        <v>496</v>
      </c>
      <c r="B31" s="24" t="s">
        <v>270</v>
      </c>
    </row>
    <row r="32" spans="1:2">
      <c r="A32" s="24" t="s">
        <v>274</v>
      </c>
      <c r="B32" s="24" t="s">
        <v>273</v>
      </c>
    </row>
    <row r="33" spans="1:2">
      <c r="A33" s="24" t="s">
        <v>277</v>
      </c>
      <c r="B33" s="24" t="s">
        <v>276</v>
      </c>
    </row>
    <row r="34" spans="1:2">
      <c r="A34" s="24" t="s">
        <v>280</v>
      </c>
      <c r="B34" s="24" t="s">
        <v>279</v>
      </c>
    </row>
    <row r="35" spans="1:2">
      <c r="A35" s="24" t="s">
        <v>283</v>
      </c>
      <c r="B35" s="24" t="s">
        <v>282</v>
      </c>
    </row>
    <row r="36" spans="1:2">
      <c r="A36" s="24" t="s">
        <v>286</v>
      </c>
      <c r="B36" s="24" t="s">
        <v>285</v>
      </c>
    </row>
    <row r="37" spans="1:2">
      <c r="A37" s="24" t="s">
        <v>495</v>
      </c>
      <c r="B37" s="24" t="s">
        <v>288</v>
      </c>
    </row>
    <row r="38" spans="1:2">
      <c r="A38" s="24" t="s">
        <v>494</v>
      </c>
      <c r="B38" s="24" t="s">
        <v>291</v>
      </c>
    </row>
    <row r="39" spans="1:2">
      <c r="A39" s="24" t="s">
        <v>295</v>
      </c>
      <c r="B39" s="24" t="s">
        <v>294</v>
      </c>
    </row>
    <row r="40" spans="1:2">
      <c r="A40" s="24" t="s">
        <v>298</v>
      </c>
      <c r="B40" s="24" t="s">
        <v>297</v>
      </c>
    </row>
    <row r="41" spans="1:2">
      <c r="A41" s="24" t="s">
        <v>301</v>
      </c>
      <c r="B41" s="24" t="s">
        <v>300</v>
      </c>
    </row>
    <row r="42" spans="1:2">
      <c r="A42" s="24" t="s">
        <v>304</v>
      </c>
      <c r="B42" s="24" t="s">
        <v>303</v>
      </c>
    </row>
    <row r="43" spans="1:2">
      <c r="A43" s="24" t="s">
        <v>307</v>
      </c>
      <c r="B43" s="24" t="s">
        <v>306</v>
      </c>
    </row>
    <row r="44" spans="1:2">
      <c r="A44" s="24" t="s">
        <v>493</v>
      </c>
      <c r="B44" s="24" t="s">
        <v>309</v>
      </c>
    </row>
    <row r="45" spans="1:2">
      <c r="A45" s="24" t="s">
        <v>492</v>
      </c>
      <c r="B45" s="24" t="s">
        <v>312</v>
      </c>
    </row>
    <row r="46" spans="1:2">
      <c r="A46" s="24" t="s">
        <v>316</v>
      </c>
      <c r="B46" s="24" t="s">
        <v>315</v>
      </c>
    </row>
    <row r="47" spans="1:2">
      <c r="A47" s="24" t="s">
        <v>491</v>
      </c>
      <c r="B47" s="24" t="s">
        <v>318</v>
      </c>
    </row>
    <row r="48" spans="1:2">
      <c r="A48" s="24" t="s">
        <v>490</v>
      </c>
      <c r="B48" s="24" t="s">
        <v>320</v>
      </c>
    </row>
    <row r="49" spans="1:2">
      <c r="A49" s="24" t="s">
        <v>489</v>
      </c>
      <c r="B49" s="24" t="s">
        <v>322</v>
      </c>
    </row>
    <row r="50" spans="1:2">
      <c r="A50" s="24" t="s">
        <v>325</v>
      </c>
      <c r="B50" s="24" t="s">
        <v>324</v>
      </c>
    </row>
    <row r="51" spans="1:2">
      <c r="A51" s="24" t="s">
        <v>327</v>
      </c>
      <c r="B51" s="24" t="s">
        <v>326</v>
      </c>
    </row>
    <row r="52" spans="1:2">
      <c r="A52" s="24" t="s">
        <v>488</v>
      </c>
      <c r="B52" s="24" t="s">
        <v>330</v>
      </c>
    </row>
    <row r="53" spans="1:2">
      <c r="A53" s="24" t="s">
        <v>333</v>
      </c>
      <c r="B53" s="24" t="s">
        <v>332</v>
      </c>
    </row>
    <row r="54" spans="1:2">
      <c r="A54" s="24" t="s">
        <v>335</v>
      </c>
      <c r="B54" s="24" t="s">
        <v>334</v>
      </c>
    </row>
    <row r="55" spans="1:2">
      <c r="A55" s="24" t="s">
        <v>337</v>
      </c>
      <c r="B55" s="24" t="s">
        <v>336</v>
      </c>
    </row>
    <row r="56" spans="1:2">
      <c r="A56" s="24" t="s">
        <v>339</v>
      </c>
      <c r="B56" s="24" t="s">
        <v>338</v>
      </c>
    </row>
    <row r="57" spans="1:2">
      <c r="A57" s="24" t="s">
        <v>341</v>
      </c>
      <c r="B57" s="24" t="s">
        <v>340</v>
      </c>
    </row>
    <row r="58" spans="1:2">
      <c r="A58" s="24" t="s">
        <v>343</v>
      </c>
      <c r="B58" s="24" t="s">
        <v>342</v>
      </c>
    </row>
    <row r="59" spans="1:2">
      <c r="A59" s="24" t="s">
        <v>345</v>
      </c>
      <c r="B59" s="24" t="s">
        <v>344</v>
      </c>
    </row>
    <row r="60" spans="1:2">
      <c r="A60" s="24" t="s">
        <v>347</v>
      </c>
      <c r="B60" s="24" t="s">
        <v>346</v>
      </c>
    </row>
    <row r="61" spans="1:2">
      <c r="A61" s="24" t="s">
        <v>349</v>
      </c>
      <c r="B61" s="24" t="s">
        <v>348</v>
      </c>
    </row>
    <row r="62" spans="1:2">
      <c r="A62" s="24" t="s">
        <v>487</v>
      </c>
      <c r="B62" s="24" t="s">
        <v>350</v>
      </c>
    </row>
    <row r="63" spans="1:2">
      <c r="A63" s="24" t="s">
        <v>353</v>
      </c>
      <c r="B63" s="24" t="s">
        <v>352</v>
      </c>
    </row>
    <row r="64" spans="1:2">
      <c r="A64" s="24" t="s">
        <v>355</v>
      </c>
      <c r="B64" s="24" t="s">
        <v>354</v>
      </c>
    </row>
    <row r="65" spans="1:2">
      <c r="A65" s="24" t="s">
        <v>5</v>
      </c>
      <c r="B65" s="24" t="s">
        <v>356</v>
      </c>
    </row>
  </sheetData>
  <phoneticPr fontId="139"/>
  <hyperlinks>
    <hyperlink ref="C1" location="トップ!A1" display="トップ"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topLeftCell="B1" workbookViewId="0">
      <selection activeCell="O2" sqref="O2"/>
    </sheetView>
  </sheetViews>
  <sheetFormatPr defaultColWidth="9" defaultRowHeight="13.5"/>
  <cols>
    <col min="1" max="2" width="9" style="16" customWidth="1"/>
    <col min="3" max="3" width="32.75" style="16" bestFit="1" customWidth="1"/>
    <col min="4" max="4" width="13" style="16" bestFit="1" customWidth="1"/>
    <col min="5" max="9" width="3.375" style="16" bestFit="1" customWidth="1"/>
    <col min="10" max="10" width="4.375" style="16" bestFit="1" customWidth="1"/>
    <col min="11" max="11" width="24.125" style="16" bestFit="1" customWidth="1"/>
    <col min="12" max="12" width="20.375" style="16" bestFit="1" customWidth="1"/>
    <col min="13" max="13" width="36.125" style="16" bestFit="1" customWidth="1"/>
    <col min="14" max="14" width="55.25" style="16" bestFit="1" customWidth="1"/>
    <col min="15" max="15" width="6.75" style="16" bestFit="1" customWidth="1"/>
    <col min="16" max="20" width="3.375" style="16" bestFit="1" customWidth="1"/>
    <col min="21" max="21" width="3.625" style="16" customWidth="1"/>
    <col min="22" max="22" width="9" style="16" customWidth="1"/>
    <col min="23" max="16384" width="9" style="16"/>
  </cols>
  <sheetData>
    <row r="1" spans="1:21">
      <c r="A1" s="17" t="s">
        <v>434</v>
      </c>
      <c r="I1" s="23" t="s">
        <v>28</v>
      </c>
      <c r="K1" s="16" t="s">
        <v>486</v>
      </c>
      <c r="L1" s="16" t="s">
        <v>485</v>
      </c>
      <c r="Q1" s="21" t="s">
        <v>145</v>
      </c>
      <c r="R1" s="16">
        <v>11</v>
      </c>
      <c r="S1" s="16" t="s">
        <v>435</v>
      </c>
      <c r="T1" s="16" t="s">
        <v>438</v>
      </c>
    </row>
    <row r="2" spans="1:21">
      <c r="B2" s="16" t="s">
        <v>484</v>
      </c>
      <c r="C2" s="16" t="s">
        <v>483</v>
      </c>
      <c r="D2" s="16" t="s">
        <v>136</v>
      </c>
      <c r="E2" s="16">
        <v>21</v>
      </c>
      <c r="F2" s="16" t="s">
        <v>482</v>
      </c>
      <c r="G2" s="16">
        <v>1</v>
      </c>
      <c r="H2" s="16">
        <v>1</v>
      </c>
      <c r="I2" s="23" t="s">
        <v>481</v>
      </c>
      <c r="J2" s="16">
        <v>100</v>
      </c>
      <c r="K2" s="16" t="s">
        <v>480</v>
      </c>
      <c r="L2" s="16" t="s">
        <v>479</v>
      </c>
      <c r="M2" s="20" t="s">
        <v>478</v>
      </c>
      <c r="N2" s="16" t="s">
        <v>477</v>
      </c>
      <c r="O2" s="22" t="s">
        <v>428</v>
      </c>
      <c r="P2" s="23" t="s">
        <v>476</v>
      </c>
      <c r="Q2" s="21" t="s">
        <v>156</v>
      </c>
      <c r="R2" s="16">
        <v>12</v>
      </c>
      <c r="S2" s="16" t="s">
        <v>475</v>
      </c>
      <c r="T2" s="16" t="s">
        <v>437</v>
      </c>
      <c r="U2" s="16" t="s">
        <v>375</v>
      </c>
    </row>
    <row r="3" spans="1:21">
      <c r="A3" s="16" t="s">
        <v>474</v>
      </c>
      <c r="B3" s="16" t="s">
        <v>473</v>
      </c>
      <c r="C3" s="16" t="s">
        <v>472</v>
      </c>
      <c r="D3" s="16" t="s">
        <v>168</v>
      </c>
      <c r="E3" s="16">
        <v>22</v>
      </c>
      <c r="F3" s="16" t="s">
        <v>471</v>
      </c>
      <c r="G3" s="16">
        <v>2</v>
      </c>
      <c r="H3" s="16">
        <v>2</v>
      </c>
      <c r="J3" s="16">
        <v>125</v>
      </c>
      <c r="K3" s="16" t="s">
        <v>470</v>
      </c>
      <c r="L3" s="16" t="s">
        <v>469</v>
      </c>
      <c r="M3" s="20" t="s">
        <v>433</v>
      </c>
      <c r="N3" s="16" t="s">
        <v>468</v>
      </c>
      <c r="O3" s="22" t="s">
        <v>467</v>
      </c>
      <c r="Q3" s="21" t="s">
        <v>167</v>
      </c>
      <c r="R3" s="16">
        <v>13</v>
      </c>
      <c r="T3" s="16" t="s">
        <v>436</v>
      </c>
    </row>
    <row r="4" spans="1:21">
      <c r="A4" s="16" t="s">
        <v>466</v>
      </c>
      <c r="C4" s="16" t="s">
        <v>465</v>
      </c>
      <c r="D4" s="16" t="s">
        <v>146</v>
      </c>
      <c r="E4" s="16">
        <v>23</v>
      </c>
      <c r="G4" s="16">
        <v>3</v>
      </c>
      <c r="H4" s="16">
        <v>3</v>
      </c>
      <c r="J4" s="16">
        <v>165</v>
      </c>
      <c r="K4" s="16" t="s">
        <v>464</v>
      </c>
      <c r="L4" s="16" t="s">
        <v>463</v>
      </c>
      <c r="M4" s="20" t="s">
        <v>432</v>
      </c>
      <c r="N4" s="16" t="s">
        <v>462</v>
      </c>
      <c r="Q4" s="21" t="s">
        <v>177</v>
      </c>
      <c r="R4" s="16">
        <v>14</v>
      </c>
    </row>
    <row r="5" spans="1:21">
      <c r="A5" s="16" t="s">
        <v>112</v>
      </c>
      <c r="C5" s="16" t="s">
        <v>461</v>
      </c>
      <c r="E5" s="16">
        <v>24</v>
      </c>
      <c r="G5" s="16">
        <v>4</v>
      </c>
      <c r="H5" s="16">
        <v>4</v>
      </c>
      <c r="L5" s="16" t="s">
        <v>460</v>
      </c>
      <c r="M5" s="20" t="s">
        <v>431</v>
      </c>
      <c r="N5" s="16" t="s">
        <v>459</v>
      </c>
      <c r="Q5" s="21" t="s">
        <v>187</v>
      </c>
      <c r="R5" s="16">
        <v>15</v>
      </c>
    </row>
    <row r="6" spans="1:21">
      <c r="C6" s="16" t="s">
        <v>458</v>
      </c>
      <c r="E6" s="16">
        <v>25</v>
      </c>
      <c r="G6" s="16">
        <v>5</v>
      </c>
      <c r="H6" s="16">
        <v>5</v>
      </c>
      <c r="L6" s="16" t="s">
        <v>457</v>
      </c>
      <c r="M6" s="20" t="s">
        <v>456</v>
      </c>
      <c r="N6" s="16" t="s">
        <v>455</v>
      </c>
      <c r="Q6" s="21"/>
      <c r="R6" s="16">
        <v>16</v>
      </c>
    </row>
    <row r="7" spans="1:21">
      <c r="E7" s="16">
        <v>26</v>
      </c>
      <c r="G7" s="16">
        <v>6</v>
      </c>
      <c r="H7" s="16">
        <v>6</v>
      </c>
      <c r="L7" s="16" t="s">
        <v>454</v>
      </c>
      <c r="M7" s="20" t="s">
        <v>430</v>
      </c>
      <c r="N7" s="16" t="s">
        <v>453</v>
      </c>
      <c r="R7" s="16">
        <v>17</v>
      </c>
    </row>
    <row r="8" spans="1:21">
      <c r="E8" s="16">
        <v>27</v>
      </c>
      <c r="G8" s="16">
        <v>7</v>
      </c>
      <c r="H8" s="16">
        <v>7</v>
      </c>
      <c r="L8" s="16" t="s">
        <v>452</v>
      </c>
      <c r="M8" s="20" t="s">
        <v>429</v>
      </c>
      <c r="N8" s="16" t="s">
        <v>451</v>
      </c>
      <c r="R8" s="16">
        <v>18</v>
      </c>
    </row>
    <row r="9" spans="1:21">
      <c r="E9" s="16">
        <v>28</v>
      </c>
      <c r="G9" s="16">
        <v>8</v>
      </c>
      <c r="H9" s="16">
        <v>8</v>
      </c>
      <c r="L9" s="16" t="s">
        <v>450</v>
      </c>
      <c r="M9" s="20" t="s">
        <v>449</v>
      </c>
      <c r="N9" s="16" t="s">
        <v>448</v>
      </c>
      <c r="R9" s="16">
        <v>19</v>
      </c>
    </row>
    <row r="10" spans="1:21">
      <c r="E10" s="16">
        <v>29</v>
      </c>
      <c r="G10" s="16">
        <v>9</v>
      </c>
      <c r="H10" s="16">
        <v>9</v>
      </c>
      <c r="L10" s="16" t="s">
        <v>447</v>
      </c>
      <c r="M10" s="20" t="s">
        <v>427</v>
      </c>
      <c r="N10" s="16" t="s">
        <v>446</v>
      </c>
      <c r="R10" s="16">
        <v>20</v>
      </c>
    </row>
    <row r="11" spans="1:21">
      <c r="E11" s="16">
        <v>30</v>
      </c>
      <c r="G11" s="16">
        <v>10</v>
      </c>
      <c r="H11" s="16">
        <v>10</v>
      </c>
      <c r="L11" s="16" t="s">
        <v>445</v>
      </c>
      <c r="M11" s="20" t="s">
        <v>444</v>
      </c>
      <c r="N11" s="16" t="s">
        <v>443</v>
      </c>
      <c r="R11" s="16">
        <v>21</v>
      </c>
    </row>
    <row r="12" spans="1:21">
      <c r="E12" s="16">
        <v>31</v>
      </c>
      <c r="G12" s="16">
        <v>11</v>
      </c>
      <c r="H12" s="16">
        <v>11</v>
      </c>
      <c r="L12" s="16" t="s">
        <v>442</v>
      </c>
      <c r="M12" s="20" t="s">
        <v>441</v>
      </c>
      <c r="N12" s="16" t="s">
        <v>440</v>
      </c>
      <c r="R12" s="16">
        <v>22</v>
      </c>
    </row>
    <row r="13" spans="1:21">
      <c r="E13" s="16">
        <v>1</v>
      </c>
      <c r="G13" s="16">
        <v>12</v>
      </c>
      <c r="H13" s="16">
        <v>12</v>
      </c>
      <c r="L13" s="16" t="s">
        <v>125</v>
      </c>
      <c r="M13" s="20" t="s">
        <v>426</v>
      </c>
      <c r="R13" s="16">
        <v>23</v>
      </c>
    </row>
    <row r="14" spans="1:21">
      <c r="E14" s="16">
        <v>2</v>
      </c>
      <c r="G14" s="16">
        <v>13</v>
      </c>
      <c r="M14" s="20" t="s">
        <v>439</v>
      </c>
      <c r="R14" s="16">
        <v>24</v>
      </c>
    </row>
    <row r="15" spans="1:21">
      <c r="E15" s="16">
        <v>3</v>
      </c>
      <c r="G15" s="16">
        <v>14</v>
      </c>
      <c r="M15" s="20" t="s">
        <v>425</v>
      </c>
      <c r="R15" s="16">
        <v>25</v>
      </c>
    </row>
    <row r="16" spans="1:21">
      <c r="E16" s="16">
        <v>4</v>
      </c>
      <c r="G16" s="16">
        <v>15</v>
      </c>
      <c r="M16" s="20" t="s">
        <v>424</v>
      </c>
      <c r="R16" s="16">
        <v>26</v>
      </c>
    </row>
    <row r="17" spans="5:18">
      <c r="E17" s="16">
        <v>5</v>
      </c>
      <c r="G17" s="16">
        <v>16</v>
      </c>
      <c r="M17" s="20" t="s">
        <v>423</v>
      </c>
      <c r="R17" s="16">
        <v>27</v>
      </c>
    </row>
    <row r="18" spans="5:18">
      <c r="E18" s="16">
        <v>6</v>
      </c>
      <c r="G18" s="16">
        <v>17</v>
      </c>
      <c r="M18" s="20" t="s">
        <v>422</v>
      </c>
      <c r="R18" s="16">
        <v>28</v>
      </c>
    </row>
    <row r="19" spans="5:18">
      <c r="E19" s="16">
        <v>7</v>
      </c>
      <c r="G19" s="16">
        <v>18</v>
      </c>
      <c r="M19" s="20" t="s">
        <v>421</v>
      </c>
      <c r="R19" s="16">
        <v>29</v>
      </c>
    </row>
    <row r="20" spans="5:18">
      <c r="E20" s="16">
        <v>8</v>
      </c>
      <c r="G20" s="16">
        <v>19</v>
      </c>
      <c r="M20" s="20" t="s">
        <v>420</v>
      </c>
      <c r="R20" s="16">
        <v>30</v>
      </c>
    </row>
    <row r="21" spans="5:18">
      <c r="E21" s="16">
        <v>9</v>
      </c>
      <c r="G21" s="16">
        <v>20</v>
      </c>
      <c r="R21" s="16">
        <v>31</v>
      </c>
    </row>
    <row r="22" spans="5:18">
      <c r="E22" s="16">
        <v>10</v>
      </c>
      <c r="G22" s="16">
        <v>21</v>
      </c>
      <c r="R22" s="16">
        <v>32</v>
      </c>
    </row>
    <row r="23" spans="5:18">
      <c r="G23" s="16">
        <v>22</v>
      </c>
      <c r="R23" s="16">
        <v>33</v>
      </c>
    </row>
    <row r="24" spans="5:18">
      <c r="G24" s="16">
        <v>23</v>
      </c>
      <c r="R24" s="16">
        <v>34</v>
      </c>
    </row>
    <row r="25" spans="5:18">
      <c r="G25" s="16">
        <v>24</v>
      </c>
      <c r="R25" s="16">
        <v>35</v>
      </c>
    </row>
    <row r="26" spans="5:18">
      <c r="G26" s="16">
        <v>25</v>
      </c>
      <c r="R26" s="16">
        <v>36</v>
      </c>
    </row>
    <row r="27" spans="5:18">
      <c r="G27" s="16">
        <v>26</v>
      </c>
      <c r="R27" s="16">
        <v>37</v>
      </c>
    </row>
    <row r="28" spans="5:18">
      <c r="G28" s="16">
        <v>27</v>
      </c>
      <c r="R28" s="16">
        <v>38</v>
      </c>
    </row>
    <row r="29" spans="5:18">
      <c r="G29" s="16">
        <v>28</v>
      </c>
      <c r="R29" s="16">
        <v>39</v>
      </c>
    </row>
    <row r="30" spans="5:18">
      <c r="G30" s="16">
        <v>29</v>
      </c>
      <c r="R30" s="16">
        <v>40</v>
      </c>
    </row>
    <row r="31" spans="5:18">
      <c r="G31" s="16">
        <v>30</v>
      </c>
      <c r="R31" s="16">
        <v>41</v>
      </c>
    </row>
    <row r="32" spans="5:18">
      <c r="G32" s="16">
        <v>31</v>
      </c>
      <c r="R32" s="16">
        <v>42</v>
      </c>
    </row>
    <row r="33" spans="18:18">
      <c r="R33" s="16">
        <v>43</v>
      </c>
    </row>
    <row r="34" spans="18:18">
      <c r="R34" s="16">
        <v>44</v>
      </c>
    </row>
    <row r="35" spans="18:18">
      <c r="R35" s="16">
        <v>45</v>
      </c>
    </row>
    <row r="36" spans="18:18">
      <c r="R36" s="16">
        <v>46</v>
      </c>
    </row>
    <row r="37" spans="18:18">
      <c r="R37" s="16">
        <v>99</v>
      </c>
    </row>
  </sheetData>
  <phoneticPr fontId="139"/>
  <hyperlinks>
    <hyperlink ref="A1" location="トップ!A1" display="トップ"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J65"/>
  <sheetViews>
    <sheetView workbookViewId="0">
      <selection activeCell="B2" sqref="B2"/>
    </sheetView>
  </sheetViews>
  <sheetFormatPr defaultColWidth="2.875" defaultRowHeight="15" customHeight="1"/>
  <cols>
    <col min="1" max="1" width="2.875" style="983" customWidth="1"/>
    <col min="2" max="16384" width="2.875" style="983"/>
  </cols>
  <sheetData>
    <row r="2" spans="2:30" ht="15" customHeight="1">
      <c r="B2" s="982" t="s">
        <v>2693</v>
      </c>
      <c r="C2" s="982"/>
    </row>
    <row r="3" spans="2:30" ht="15" customHeight="1">
      <c r="B3" s="982"/>
      <c r="C3" s="982"/>
    </row>
    <row r="4" spans="2:30" ht="15" customHeight="1">
      <c r="B4" s="982"/>
      <c r="C4" s="982" t="s">
        <v>2696</v>
      </c>
    </row>
    <row r="5" spans="2:30" ht="15" customHeight="1">
      <c r="B5" s="982"/>
    </row>
    <row r="6" spans="2:30" ht="15" customHeight="1">
      <c r="B6" s="982"/>
      <c r="C6" s="982" t="s">
        <v>2697</v>
      </c>
    </row>
    <row r="7" spans="2:30" ht="15" customHeight="1">
      <c r="B7" s="982"/>
      <c r="C7" s="982" t="s">
        <v>2700</v>
      </c>
    </row>
    <row r="8" spans="2:30" ht="15" customHeight="1">
      <c r="B8" s="982"/>
    </row>
    <row r="9" spans="2:30" ht="15" customHeight="1">
      <c r="B9" s="982"/>
      <c r="C9" s="984" t="s">
        <v>2703</v>
      </c>
    </row>
    <row r="10" spans="2:30" ht="15" customHeight="1">
      <c r="B10" s="984"/>
      <c r="C10" s="1004" t="s">
        <v>2704</v>
      </c>
      <c r="AD10" s="1005" t="s">
        <v>3725</v>
      </c>
    </row>
    <row r="11" spans="2:30" ht="15" customHeight="1">
      <c r="B11" s="984"/>
      <c r="C11" s="984" t="s">
        <v>2705</v>
      </c>
    </row>
    <row r="12" spans="2:30" ht="15" customHeight="1">
      <c r="B12" s="984"/>
    </row>
    <row r="13" spans="2:30" ht="15" customHeight="1">
      <c r="B13" s="984"/>
      <c r="C13" s="982" t="s">
        <v>2706</v>
      </c>
    </row>
    <row r="14" spans="2:30" ht="15" customHeight="1">
      <c r="B14" s="984"/>
      <c r="C14" s="982" t="s">
        <v>2707</v>
      </c>
    </row>
    <row r="15" spans="2:30" ht="15" customHeight="1">
      <c r="B15" s="984"/>
    </row>
    <row r="16" spans="2:30" ht="15" customHeight="1">
      <c r="B16" s="984"/>
    </row>
    <row r="17" spans="1:36" ht="15" customHeight="1">
      <c r="B17" s="985" t="s">
        <v>2708</v>
      </c>
    </row>
    <row r="18" spans="1:36" ht="15" customHeight="1">
      <c r="B18" s="985"/>
    </row>
    <row r="19" spans="1:36" ht="15" customHeight="1">
      <c r="B19" s="985"/>
      <c r="C19" s="1004" t="s">
        <v>2709</v>
      </c>
      <c r="AD19" s="1005" t="s">
        <v>3725</v>
      </c>
    </row>
    <row r="20" spans="1:36" ht="15" customHeight="1">
      <c r="B20" s="984"/>
      <c r="C20" s="1004" t="s">
        <v>2710</v>
      </c>
      <c r="AD20" s="1005" t="s">
        <v>3725</v>
      </c>
    </row>
    <row r="21" spans="1:36" ht="15" customHeight="1">
      <c r="A21" s="986"/>
      <c r="B21" s="987"/>
      <c r="C21" s="987" t="s">
        <v>2711</v>
      </c>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row>
    <row r="22" spans="1:36" ht="15" customHeight="1">
      <c r="B22" s="985"/>
      <c r="C22" s="985"/>
      <c r="D22" s="985"/>
      <c r="E22" s="985"/>
      <c r="F22" s="985"/>
      <c r="G22" s="985"/>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row>
    <row r="23" spans="1:36" ht="15" customHeight="1">
      <c r="A23" s="985"/>
      <c r="B23" s="985"/>
      <c r="C23" s="985"/>
      <c r="D23" s="985"/>
      <c r="E23" s="985"/>
      <c r="F23" s="985"/>
      <c r="G23" s="985"/>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row>
    <row r="24" spans="1:36" ht="15" customHeight="1">
      <c r="B24" s="985" t="s">
        <v>2712</v>
      </c>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row>
    <row r="26" spans="1:36" ht="15" customHeight="1">
      <c r="C26" s="989"/>
      <c r="D26" s="987" t="s">
        <v>2713</v>
      </c>
      <c r="AI26" s="986"/>
      <c r="AJ26" s="986"/>
    </row>
    <row r="27" spans="1:36" ht="15" customHeight="1">
      <c r="D27" s="987"/>
    </row>
    <row r="28" spans="1:36" ht="15" customHeight="1">
      <c r="C28" s="990"/>
      <c r="D28" s="987" t="s">
        <v>2714</v>
      </c>
    </row>
    <row r="29" spans="1:36" ht="15" customHeight="1">
      <c r="D29" s="987"/>
    </row>
    <row r="30" spans="1:36" ht="15" customHeight="1">
      <c r="C30" s="991"/>
      <c r="D30" s="987" t="s">
        <v>2715</v>
      </c>
    </row>
    <row r="32" spans="1:36" ht="15" customHeight="1">
      <c r="C32" s="992"/>
      <c r="D32" s="987" t="s">
        <v>2716</v>
      </c>
    </row>
    <row r="33" spans="3:30" ht="15" customHeight="1">
      <c r="C33" s="987"/>
      <c r="D33" s="987"/>
    </row>
    <row r="34" spans="3:30" ht="15" customHeight="1">
      <c r="C34" s="993"/>
      <c r="D34" s="987" t="s">
        <v>2717</v>
      </c>
    </row>
    <row r="37" spans="3:30" ht="15" customHeight="1">
      <c r="G37" s="1006" t="s">
        <v>2720</v>
      </c>
      <c r="AD37" s="1005" t="s">
        <v>3725</v>
      </c>
    </row>
    <row r="38" spans="3:30" ht="15" customHeight="1">
      <c r="G38" s="1006" t="s">
        <v>2721</v>
      </c>
    </row>
    <row r="41" spans="3:30" ht="15" customHeight="1">
      <c r="C41" s="994" t="s">
        <v>2722</v>
      </c>
      <c r="D41" s="995"/>
      <c r="E41" s="995"/>
      <c r="F41" s="996"/>
      <c r="G41" s="997" t="s">
        <v>2723</v>
      </c>
      <c r="H41" s="998"/>
      <c r="I41" s="998"/>
      <c r="J41" s="998"/>
      <c r="K41" s="998"/>
      <c r="M41" s="984" t="s">
        <v>2724</v>
      </c>
    </row>
    <row r="42" spans="3:30" ht="15" customHeight="1">
      <c r="C42" s="994" t="s">
        <v>2725</v>
      </c>
      <c r="D42" s="995"/>
      <c r="E42" s="995"/>
      <c r="F42" s="996"/>
      <c r="G42" s="999" t="s">
        <v>2726</v>
      </c>
      <c r="H42" s="1000"/>
      <c r="I42" s="1000"/>
      <c r="J42" s="1000"/>
      <c r="K42" s="1000"/>
    </row>
    <row r="50" spans="1:35" ht="15" customHeight="1">
      <c r="B50" s="983" t="s">
        <v>2727</v>
      </c>
    </row>
    <row r="51" spans="1:35" ht="15" customHeight="1">
      <c r="A51" s="1001"/>
      <c r="B51" s="1229">
        <v>45748</v>
      </c>
      <c r="C51" s="1229"/>
      <c r="D51" s="1229"/>
      <c r="E51" s="1229"/>
      <c r="F51" s="1229"/>
      <c r="G51" s="1001" t="s">
        <v>2730</v>
      </c>
      <c r="H51" s="1001"/>
      <c r="I51" s="1001"/>
      <c r="J51" s="1001"/>
      <c r="K51" s="1001"/>
      <c r="L51" s="1001"/>
      <c r="M51" s="1001"/>
      <c r="N51" s="1001"/>
      <c r="O51" s="1001"/>
      <c r="P51" s="1001"/>
      <c r="Q51" s="1001"/>
      <c r="R51" s="1001"/>
      <c r="S51" s="1001"/>
      <c r="T51" s="1001"/>
      <c r="U51" s="1001"/>
      <c r="V51" s="1001"/>
      <c r="W51" s="1001"/>
      <c r="X51" s="1001"/>
      <c r="Y51" s="1001"/>
      <c r="Z51" s="1001"/>
      <c r="AA51" s="1001"/>
      <c r="AB51" s="1001"/>
      <c r="AC51" s="1001"/>
      <c r="AD51" s="1001"/>
      <c r="AE51" s="1001"/>
      <c r="AF51" s="1001"/>
      <c r="AG51" s="1001"/>
      <c r="AH51" s="1001"/>
      <c r="AI51" s="1001"/>
    </row>
    <row r="52" spans="1:35" ht="15" customHeight="1">
      <c r="A52" s="1001"/>
      <c r="B52" s="1229"/>
      <c r="C52" s="1229"/>
      <c r="D52" s="1229"/>
      <c r="E52" s="1229"/>
      <c r="F52" s="1229"/>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row>
    <row r="53" spans="1:35" ht="15" customHeight="1">
      <c r="A53" s="1001"/>
      <c r="B53" s="1001"/>
      <c r="C53" s="1001"/>
      <c r="D53" s="1001"/>
      <c r="E53" s="1001"/>
      <c r="F53" s="1001"/>
      <c r="G53" s="1001"/>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row>
    <row r="54" spans="1:35" ht="15" customHeight="1">
      <c r="A54" s="1001"/>
      <c r="B54" s="1229"/>
      <c r="C54" s="1229"/>
      <c r="D54" s="1229"/>
      <c r="E54" s="1229"/>
      <c r="F54" s="1229"/>
      <c r="G54" s="1001"/>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1"/>
      <c r="AE54" s="1001"/>
      <c r="AF54" s="1001"/>
      <c r="AG54" s="1001"/>
      <c r="AH54" s="1001"/>
      <c r="AI54" s="1001"/>
    </row>
    <row r="55" spans="1:35" ht="15" customHeight="1">
      <c r="A55" s="1001"/>
      <c r="B55" s="1001"/>
      <c r="C55" s="1001"/>
      <c r="D55" s="1001"/>
      <c r="E55" s="1001"/>
      <c r="F55" s="1001"/>
      <c r="G55" s="1001"/>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1"/>
      <c r="AE55" s="1001"/>
      <c r="AF55" s="1001"/>
      <c r="AG55" s="1001"/>
      <c r="AH55" s="1001"/>
      <c r="AI55" s="1001"/>
    </row>
    <row r="56" spans="1:35" ht="15" customHeight="1">
      <c r="A56" s="1001"/>
      <c r="B56" s="1001"/>
      <c r="C56" s="1001"/>
      <c r="D56" s="1001"/>
      <c r="E56" s="1001"/>
      <c r="F56" s="1001"/>
      <c r="G56" s="1001"/>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row>
    <row r="57" spans="1:35" ht="15" customHeight="1">
      <c r="A57" s="1001"/>
      <c r="B57" s="1229"/>
      <c r="C57" s="1229"/>
      <c r="D57" s="1229"/>
      <c r="E57" s="1229"/>
      <c r="F57" s="1229"/>
      <c r="G57" s="1001"/>
      <c r="H57" s="1001"/>
      <c r="I57" s="1001"/>
      <c r="J57" s="1001"/>
      <c r="K57" s="1001"/>
      <c r="L57" s="1001"/>
      <c r="M57" s="1001"/>
      <c r="N57" s="1001"/>
      <c r="O57" s="1001"/>
      <c r="P57" s="1001"/>
      <c r="Q57" s="1001"/>
      <c r="R57" s="1001"/>
      <c r="S57" s="1001"/>
      <c r="T57" s="1001"/>
      <c r="U57" s="1001"/>
      <c r="V57" s="1001"/>
      <c r="W57" s="1001"/>
      <c r="X57" s="1001"/>
      <c r="Y57" s="1001"/>
      <c r="Z57" s="1001"/>
      <c r="AA57" s="1001"/>
      <c r="AB57" s="1001"/>
      <c r="AC57" s="1001"/>
      <c r="AD57" s="1001"/>
      <c r="AE57" s="1001"/>
      <c r="AF57" s="1001"/>
      <c r="AG57" s="1001"/>
      <c r="AH57" s="1001"/>
      <c r="AI57" s="1001"/>
    </row>
    <row r="58" spans="1:35" ht="15" customHeight="1">
      <c r="A58" s="1001"/>
      <c r="B58" s="1001"/>
      <c r="C58" s="1001"/>
      <c r="D58" s="1001"/>
      <c r="E58" s="1001"/>
      <c r="F58" s="1001"/>
      <c r="G58" s="1001"/>
      <c r="H58" s="1001"/>
      <c r="I58" s="1001"/>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row>
    <row r="59" spans="1:35" ht="15" customHeight="1">
      <c r="A59" s="1001"/>
      <c r="B59" s="1001"/>
      <c r="C59" s="1001"/>
      <c r="D59" s="1001"/>
      <c r="E59" s="1001"/>
      <c r="F59" s="1001"/>
      <c r="G59" s="1001"/>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1"/>
      <c r="AE59" s="1001"/>
      <c r="AF59" s="1001"/>
      <c r="AG59" s="1001"/>
      <c r="AH59" s="1001"/>
      <c r="AI59" s="1001"/>
    </row>
    <row r="60" spans="1:35" ht="15" customHeight="1">
      <c r="A60" s="1002" t="s">
        <v>2735</v>
      </c>
    </row>
    <row r="61" spans="1:35" ht="15" customHeight="1">
      <c r="A61" s="1002" t="s">
        <v>2736</v>
      </c>
    </row>
    <row r="63" spans="1:35" ht="15" customHeight="1">
      <c r="AH63" s="1003" t="s">
        <v>2737</v>
      </c>
    </row>
    <row r="64" spans="1:35" ht="15" customHeight="1">
      <c r="V64" s="983" t="s">
        <v>2738</v>
      </c>
    </row>
    <row r="65" spans="22:22" ht="15" customHeight="1">
      <c r="V65" s="983" t="s">
        <v>2739</v>
      </c>
    </row>
  </sheetData>
  <mergeCells count="4">
    <mergeCell ref="B51:F51"/>
    <mergeCell ref="B52:F52"/>
    <mergeCell ref="B54:F54"/>
    <mergeCell ref="B57:F57"/>
  </mergeCells>
  <phoneticPr fontId="139"/>
  <pageMargins left="0.7" right="0.7" top="0.75" bottom="0.75" header="0.3" footer="0.3"/>
  <pageSetup paperSize="9"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2049</vt:i4>
      </vt:variant>
    </vt:vector>
  </HeadingPairs>
  <TitlesOfParts>
    <vt:vector size="2052" baseType="lpstr">
      <vt:lpstr>入力のルール</vt:lpstr>
      <vt:lpstr>検査予約票_2504</vt:lpstr>
      <vt:lpstr>syukujitsu2001-2050</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cst_koujikikan_month</vt:lpstr>
      <vt:lpstr>cst_koujikikan_year</vt:lpstr>
      <vt:lpstr>cst_Pre_Corp__SHINSEI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cst_shinsei_KAKU_SUMI_NO</vt:lpstr>
      <vt:lpstr>cst_shinsei_KAKUNIN_ISSUE_NO</vt:lpstr>
      <vt:lpstr>cst_shinsei_KAKUNIN_KOUFU_DATE</vt:lpstr>
      <vt:lpstr>cst_shinsei_PROVO_DATE</vt:lpstr>
      <vt:lpstr>cst_shinsei_PROVO_NO</vt:lpstr>
      <vt:lpstr>cst_shinsei_UKETUKE_NO</vt:lpstr>
      <vt:lpstr>cst_shinsei_UNIT_COUNT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cst_wsjob_KOUSAKUBUTU_box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cst_wskakunin_owner3__space2</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cst_wskakunin_owner4__space2</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cst_wskakunin_p4_1_KOUZOU1</vt:lpstr>
      <vt:lpstr>cst_wskakunin_p4_1_KOUZOU2</vt:lpstr>
      <vt:lpstr>cst_wskakunin_p4_1_TAKASA_KEN_MAX</vt:lpstr>
      <vt:lpstr>cst_wskakunin_p4_1_TAKASA_MAX</vt:lpstr>
      <vt:lpstr>cst_wskakunin_p4_1_TOKUREI</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cst_wskakunin_p4_1_YUKA_MENSEKI_SHINSEI</vt:lpstr>
      <vt:lpstr>cst_wskakunin_p4_2_KAISU_TIKAI</vt:lpstr>
      <vt:lpstr>cst_wskakunin_p4_2_KAISU_TIKAI_NOZOKU</vt:lpstr>
      <vt:lpstr>cst_wskakunin_p4_2_YUKA_MENSEKI_SHINSEI</vt:lpstr>
      <vt:lpstr>cst_wskakunin_p4_3_KAISU_TIKAI</vt:lpstr>
      <vt:lpstr>cst_wskakunin_p4_3_KAISU_TIKAI_NOZOKU</vt:lpstr>
      <vt:lpstr>cst_wskakunin_p4_3_YUKA_MENSEKI_SHINSEI</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cst_wskakunin_YOUTO_TIIKI_A</vt:lpstr>
      <vt:lpstr>cst_wskakunin_YOUTO_TIIKI_B</vt:lpstr>
      <vt:lpstr>cst_wskakunin_YOUTO_TIIKI_C</vt:lpstr>
      <vt:lpstr>cst_wskakunin_YOUTO_TIIKI_D</vt:lpstr>
      <vt:lpstr>委任状!Print_Area</vt:lpstr>
      <vt:lpstr>確認申請取下届!Print_Area</vt:lpstr>
      <vt:lpstr>確認申請取下届_一括!Print_Area</vt:lpstr>
      <vt:lpstr>完了検査申請取下届!Print_Area</vt:lpstr>
      <vt:lpstr>完了検査申請取下届_一括!Print_Area</vt:lpstr>
      <vt:lpstr>完了検査申請書!Print_Area</vt:lpstr>
      <vt:lpstr>既存不適格調書!Print_Area</vt:lpstr>
      <vt:lpstr>既存不適格法チェックリスト!Print_Area</vt:lpstr>
      <vt:lpstr>記載事項変更等届!Print_Area</vt:lpstr>
      <vt:lpstr>記載事項変更等届_一括!Print_Area</vt:lpstr>
      <vt:lpstr>検査予約票_一括!Print_Area</vt:lpstr>
      <vt:lpstr>現況の調査書!Print_Area</vt:lpstr>
      <vt:lpstr>現地調査票!Print_Area</vt:lpstr>
      <vt:lpstr>現地調査票_一括!Print_Area</vt:lpstr>
      <vt:lpstr>工事取りやめ届!Print_Area</vt:lpstr>
      <vt:lpstr>工事取りやめ届_一括!Print_Area</vt:lpstr>
      <vt:lpstr>工事届!Print_Area</vt:lpstr>
      <vt:lpstr>工事届_一括!Print_Area</vt:lpstr>
      <vt:lpstr>再交付申請書!Print_Area</vt:lpstr>
      <vt:lpstr>事前協議!Print_Area</vt:lpstr>
      <vt:lpstr>証明願!Print_Area</vt:lpstr>
      <vt:lpstr>免除申請_確認・計変!Print_Area</vt:lpstr>
      <vt:lpstr>免除申請_完了!Print_Area</vt:lpstr>
      <vt:lpstr>郵送申請_確認申請・適合証明設計検査!Print_Area</vt:lpstr>
      <vt:lpstr>郵送申請_完了!Print_Area</vt:lpstr>
      <vt:lpstr>郵送申請_計画変更!Print_Area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showsheetflag_リスト</vt:lpstr>
      <vt:lpstr>showsheetflag_リスト_2</vt:lpstr>
      <vt:lpstr>showsheetflag_リスト_2_一括</vt:lpstr>
      <vt:lpstr>showsheetflag_委任状</vt:lpstr>
      <vt:lpstr>showsheetflag_確認申請取下届</vt:lpstr>
      <vt:lpstr>showsheetflag_確認申請取下届_一括</vt:lpstr>
      <vt:lpstr>showsheetflag_完了検査申請取下届</vt:lpstr>
      <vt:lpstr>showsheetflag_完了検査申請取下届_一括</vt:lpstr>
      <vt:lpstr>showsheetflag_完了検査申請書</vt:lpstr>
      <vt:lpstr>showsheetflag_既存不適格調書</vt:lpstr>
      <vt:lpstr>showsheetflag_既存不適格法チェックリスト</vt:lpstr>
      <vt:lpstr>showsheetflag_記載事項変更等届</vt:lpstr>
      <vt:lpstr>showsheetflag_記載事項変更等届_一括</vt:lpstr>
      <vt:lpstr>showsheetflag_検査予約票</vt:lpstr>
      <vt:lpstr>showsheetflag_検査予約票_一括</vt:lpstr>
      <vt:lpstr>showsheetflag_現況の調査書</vt:lpstr>
      <vt:lpstr>showsheetflag_現地調査票</vt:lpstr>
      <vt:lpstr>showsheetflag_現地調査票_一括</vt:lpstr>
      <vt:lpstr>showsheetflag_工事取りやめ届</vt:lpstr>
      <vt:lpstr>showsheetflag_工事取りやめ届_一括</vt:lpstr>
      <vt:lpstr>showsheetflag_工事届</vt:lpstr>
      <vt:lpstr>showsheetflag_工事届_一括</vt:lpstr>
      <vt:lpstr>showsheetflag_項目リスト</vt:lpstr>
      <vt:lpstr>showsheetflag_再交付申請書</vt:lpstr>
      <vt:lpstr>showsheetflag_事前協議</vt:lpstr>
      <vt:lpstr>showsheetflag_証明願</vt:lpstr>
      <vt:lpstr>showsheetflag_提出書類一覧</vt:lpstr>
      <vt:lpstr>showsheetflag_入力のルール</vt:lpstr>
      <vt:lpstr>showsheetflag_入力のルール_一括</vt:lpstr>
      <vt:lpstr>showsheetflag_免除申請_確認・計変</vt:lpstr>
      <vt:lpstr>showsheetflag_免除申請_完了</vt:lpstr>
      <vt:lpstr>showsheetflag_目次・入力シート</vt:lpstr>
      <vt:lpstr>showsheetflag_郵送申請_確認申請・適合証明設計検査</vt:lpstr>
      <vt:lpstr>showsheetflag_郵送申請_完了</vt:lpstr>
      <vt:lpstr>showsheetflag_郵送申請_計画変更</vt:lpstr>
      <vt:lpstr>showsheetflag_用途の区分</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wskakunin_p4_1_KOUZOU1</vt:lpstr>
      <vt:lpstr>wskakunin_p4_1_KOUZOU2</vt:lpstr>
      <vt:lpstr>wskakunin_p4_1_TAKASA_KEN_MAX</vt:lpstr>
      <vt:lpstr>wskakunin_p4_1_TAKASA_MAX</vt:lpstr>
      <vt:lpstr>wskakunin_p4_1_TOKUREI_1</vt:lpstr>
      <vt:lpstr>wskakunin_p4_1_TOKUREI_2</vt:lpstr>
      <vt:lpstr>wskakunin_p4_1_TOKUREI_3</vt:lpstr>
      <vt:lpstr>wskakunin_p4_1_TOKUREI_4</vt:lpstr>
      <vt:lpstr>wskakunin_p4_1_youto1_YOUTO</vt:lpstr>
      <vt:lpstr>wskakunin_p4_1_youto1_YOUTO_CODE</vt:lpstr>
      <vt:lpstr>wskakunin_p4_1_YUKA_MENSEKI_SHINSEI</vt:lpstr>
      <vt:lpstr>wskakunin_p4_2_KAISU_TIKAI</vt:lpstr>
      <vt:lpstr>wskakunin_p4_2_KAISU_TIKAI_NOZOKU</vt:lpstr>
      <vt:lpstr>wskakunin_p4_2_YUKA_MENSEKI_SHINSEI</vt:lpstr>
      <vt:lpstr>wskakunin_p4_3_KAISU_TIKAI</vt:lpstr>
      <vt:lpstr>wskakunin_p4_3_KAISU_TIKAI_NOZOKU</vt:lpstr>
      <vt:lpstr>wskakunin_p4_3_YUKA_MENSEKI_SHINSEI</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wskakunin_YOUTO_TIIKI_A</vt:lpstr>
      <vt:lpstr>wskakunin_YOUTO_TIIKI_B</vt:lpstr>
      <vt:lpstr>wskakunin_YOUTO_TIIKI_C</vt:lpstr>
      <vt:lpstr>wskakunin_YOUTO_TIIKI_D</vt:lpstr>
      <vt:lpstr>wskakuninKOUJI_SETUBI</vt:lpstr>
      <vt:lpstr>DATA!Z_D83ABAE7_1F4C_4C77_8E04_C5172671ED17_.wvu.Rows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ikjc.04@outlook.jp</cp:lastModifiedBy>
  <cp:lastPrinted>2025-03-19T06:09:46Z</cp:lastPrinted>
  <dcterms:created xsi:type="dcterms:W3CDTF">2016-04-05T10:41:15Z</dcterms:created>
  <dcterms:modified xsi:type="dcterms:W3CDTF">2025-04-01T00:42:38Z</dcterms:modified>
</cp:coreProperties>
</file>